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fprbr0-my.sharepoint.com/personal/fernandonegrini_ufpr_br/Documents/Laboratório/IC25/"/>
    </mc:Choice>
  </mc:AlternateContent>
  <xr:revisionPtr revIDLastSave="624" documentId="8_{B9130427-C086-4C2C-B840-23EEBF18CD8E}" xr6:coauthVersionLast="47" xr6:coauthVersionMax="47" xr10:uidLastSave="{A86BCC91-2CFB-4385-84F9-8F4BE76A11E2}"/>
  <bookViews>
    <workbookView xWindow="-108" yWindow="-108" windowWidth="23256" windowHeight="12456" firstSheet="2" activeTab="4" xr2:uid="{7F8C7F84-ED63-4CCC-872E-F6A43FB99E87}"/>
  </bookViews>
  <sheets>
    <sheet name="pva24" sheetId="4" r:id="rId1"/>
    <sheet name="ic25" sheetId="1" r:id="rId2"/>
    <sheet name="Médias e Gráf." sheetId="10" r:id="rId3"/>
    <sheet name="E Mec Corrigido" sheetId="9" r:id="rId4"/>
    <sheet name="E Mec Rascunho" sheetId="8" r:id="rId5"/>
    <sheet name="E Mec" sheetId="7" r:id="rId6"/>
    <sheet name="Rascunho Teste" sheetId="11" r:id="rId7"/>
    <sheet name="Rascunho24 e 25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8" l="1"/>
  <c r="I2" i="8" l="1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J3" i="8"/>
  <c r="J4" i="8"/>
  <c r="J5" i="8"/>
  <c r="K5" i="8" s="1"/>
  <c r="J6" i="8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J14" i="8"/>
  <c r="J15" i="8"/>
  <c r="J16" i="8"/>
  <c r="K16" i="8" s="1"/>
  <c r="K2" i="8"/>
  <c r="G2" i="9"/>
  <c r="G3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AA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17" i="11"/>
  <c r="C17" i="11"/>
  <c r="D17" i="11"/>
  <c r="D2" i="11"/>
  <c r="D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" i="11"/>
  <c r="Z2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K3" i="8"/>
  <c r="K4" i="8"/>
  <c r="K6" i="8"/>
  <c r="AA18" i="1" l="1"/>
  <c r="AA19" i="1"/>
  <c r="K15" i="8"/>
  <c r="K14" i="8"/>
  <c r="K13" i="8"/>
  <c r="V7" i="1"/>
  <c r="V6" i="1"/>
  <c r="V12" i="1"/>
  <c r="V15" i="1"/>
  <c r="V8" i="1"/>
  <c r="B5" i="10" s="1"/>
  <c r="V11" i="1"/>
  <c r="V2" i="1"/>
  <c r="B4" i="10" s="1"/>
  <c r="D4" i="10" s="1"/>
  <c r="V13" i="1"/>
  <c r="V5" i="1"/>
  <c r="V4" i="1"/>
  <c r="V10" i="1"/>
  <c r="V16" i="1"/>
  <c r="V14" i="1"/>
  <c r="V9" i="1"/>
  <c r="V3" i="1"/>
  <c r="U6" i="1"/>
  <c r="U12" i="1"/>
  <c r="U15" i="1"/>
  <c r="U8" i="1"/>
  <c r="U11" i="1"/>
  <c r="U2" i="1"/>
  <c r="U13" i="1"/>
  <c r="U5" i="1"/>
  <c r="U4" i="1"/>
  <c r="U7" i="1"/>
  <c r="U10" i="1"/>
  <c r="U16" i="1"/>
  <c r="U14" i="1"/>
  <c r="U9" i="1"/>
  <c r="U3" i="1"/>
  <c r="E2" i="6" l="1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G2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K5" i="6"/>
  <c r="K2" i="6"/>
  <c r="K3" i="6"/>
  <c r="K4" i="6"/>
  <c r="K6" i="6"/>
  <c r="K7" i="6"/>
  <c r="K8" i="6"/>
  <c r="K9" i="6"/>
  <c r="K10" i="6"/>
  <c r="K11" i="6"/>
  <c r="K12" i="6"/>
  <c r="K13" i="6"/>
  <c r="K14" i="6"/>
  <c r="K15" i="6"/>
  <c r="K16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  <c r="P16" i="4"/>
  <c r="M16" i="4"/>
  <c r="L16" i="4"/>
  <c r="C16" i="4"/>
  <c r="P15" i="4"/>
  <c r="M15" i="4"/>
  <c r="L15" i="4"/>
  <c r="C15" i="4"/>
  <c r="P14" i="4"/>
  <c r="M14" i="4"/>
  <c r="L14" i="4"/>
  <c r="N14" i="4" s="1"/>
  <c r="O14" i="4" s="1"/>
  <c r="C14" i="4"/>
  <c r="P13" i="4"/>
  <c r="M13" i="4"/>
  <c r="L13" i="4"/>
  <c r="C13" i="4"/>
  <c r="P12" i="4"/>
  <c r="M12" i="4"/>
  <c r="L12" i="4"/>
  <c r="N12" i="4" s="1"/>
  <c r="O12" i="4" s="1"/>
  <c r="C12" i="4"/>
  <c r="P11" i="4"/>
  <c r="M11" i="4"/>
  <c r="L11" i="4"/>
  <c r="C11" i="4"/>
  <c r="P10" i="4"/>
  <c r="M10" i="4"/>
  <c r="L10" i="4"/>
  <c r="C10" i="4"/>
  <c r="P9" i="4"/>
  <c r="M9" i="4"/>
  <c r="L9" i="4"/>
  <c r="N9" i="4" s="1"/>
  <c r="O9" i="4" s="1"/>
  <c r="Q9" i="4" s="1"/>
  <c r="C9" i="4"/>
  <c r="P8" i="4"/>
  <c r="M8" i="4"/>
  <c r="L8" i="4"/>
  <c r="N8" i="4" s="1"/>
  <c r="O8" i="4" s="1"/>
  <c r="C8" i="4"/>
  <c r="P7" i="4"/>
  <c r="M7" i="4"/>
  <c r="L7" i="4"/>
  <c r="N7" i="4" s="1"/>
  <c r="O7" i="4" s="1"/>
  <c r="C7" i="4"/>
  <c r="P6" i="4"/>
  <c r="M6" i="4"/>
  <c r="L6" i="4"/>
  <c r="N6" i="4" s="1"/>
  <c r="O6" i="4" s="1"/>
  <c r="Q6" i="4" s="1"/>
  <c r="C6" i="4"/>
  <c r="P5" i="4"/>
  <c r="M5" i="4"/>
  <c r="L5" i="4"/>
  <c r="C5" i="4"/>
  <c r="P4" i="4"/>
  <c r="M4" i="4"/>
  <c r="L4" i="4"/>
  <c r="C4" i="4"/>
  <c r="P3" i="4"/>
  <c r="M3" i="4"/>
  <c r="L3" i="4"/>
  <c r="C3" i="4"/>
  <c r="P2" i="4"/>
  <c r="M2" i="4"/>
  <c r="L2" i="4"/>
  <c r="N2" i="4" s="1"/>
  <c r="O2" i="4" s="1"/>
  <c r="C2" i="4"/>
  <c r="C12" i="1"/>
  <c r="C15" i="1"/>
  <c r="C8" i="1"/>
  <c r="C11" i="1"/>
  <c r="C2" i="1"/>
  <c r="C13" i="1"/>
  <c r="C5" i="1"/>
  <c r="C4" i="1"/>
  <c r="C7" i="1"/>
  <c r="C10" i="1"/>
  <c r="C16" i="1"/>
  <c r="C14" i="1"/>
  <c r="C9" i="1"/>
  <c r="C3" i="1"/>
  <c r="C6" i="1"/>
  <c r="Q6" i="1"/>
  <c r="Q12" i="1"/>
  <c r="Q15" i="1"/>
  <c r="Q8" i="1"/>
  <c r="B11" i="10" s="1"/>
  <c r="Q11" i="1"/>
  <c r="P6" i="6" s="1"/>
  <c r="Q2" i="1"/>
  <c r="B10" i="10" s="1"/>
  <c r="Q13" i="1"/>
  <c r="Q5" i="1"/>
  <c r="Q4" i="1"/>
  <c r="Q7" i="1"/>
  <c r="Q10" i="1"/>
  <c r="Q16" i="1"/>
  <c r="Q14" i="1"/>
  <c r="Q9" i="1"/>
  <c r="Q3" i="1"/>
  <c r="M6" i="1"/>
  <c r="M12" i="1"/>
  <c r="M15" i="1"/>
  <c r="M8" i="1"/>
  <c r="M11" i="1"/>
  <c r="M2" i="1"/>
  <c r="M13" i="1"/>
  <c r="M5" i="1"/>
  <c r="M4" i="1"/>
  <c r="M7" i="1"/>
  <c r="M10" i="1"/>
  <c r="M16" i="1"/>
  <c r="M14" i="1"/>
  <c r="M9" i="1"/>
  <c r="M3" i="1"/>
  <c r="L6" i="1"/>
  <c r="L12" i="1"/>
  <c r="L15" i="1"/>
  <c r="L8" i="1"/>
  <c r="L11" i="1"/>
  <c r="L2" i="1"/>
  <c r="L13" i="1"/>
  <c r="L5" i="1"/>
  <c r="L4" i="1"/>
  <c r="L7" i="1"/>
  <c r="L10" i="1"/>
  <c r="L16" i="1"/>
  <c r="L14" i="1"/>
  <c r="L9" i="1"/>
  <c r="L3" i="1"/>
  <c r="D10" i="10" l="1"/>
  <c r="L16" i="6"/>
  <c r="L4" i="6"/>
  <c r="M7" i="6"/>
  <c r="P10" i="6"/>
  <c r="M6" i="6"/>
  <c r="P9" i="6"/>
  <c r="P8" i="6"/>
  <c r="M16" i="6"/>
  <c r="M5" i="6"/>
  <c r="L5" i="6"/>
  <c r="P16" i="6"/>
  <c r="M3" i="6"/>
  <c r="P11" i="6"/>
  <c r="L15" i="6"/>
  <c r="M15" i="6"/>
  <c r="L10" i="6"/>
  <c r="P15" i="6"/>
  <c r="P2" i="6"/>
  <c r="L12" i="6"/>
  <c r="M12" i="6"/>
  <c r="M9" i="6"/>
  <c r="M2" i="6"/>
  <c r="P5" i="6"/>
  <c r="L14" i="6"/>
  <c r="L3" i="6"/>
  <c r="L2" i="6"/>
  <c r="L13" i="6"/>
  <c r="M4" i="6"/>
  <c r="L11" i="6"/>
  <c r="M14" i="6"/>
  <c r="M13" i="6"/>
  <c r="P4" i="6"/>
  <c r="L9" i="6"/>
  <c r="P3" i="6"/>
  <c r="L8" i="6"/>
  <c r="M11" i="6"/>
  <c r="P14" i="6"/>
  <c r="L7" i="6"/>
  <c r="M10" i="6"/>
  <c r="P13" i="6"/>
  <c r="P7" i="6"/>
  <c r="L6" i="6"/>
  <c r="P12" i="6"/>
  <c r="M8" i="6"/>
  <c r="N15" i="4"/>
  <c r="O15" i="4" s="1"/>
  <c r="Q15" i="4" s="1"/>
  <c r="N16" i="4"/>
  <c r="O16" i="4" s="1"/>
  <c r="Q16" i="4" s="1"/>
  <c r="N13" i="4"/>
  <c r="O13" i="4" s="1"/>
  <c r="Q13" i="4" s="1"/>
  <c r="N4" i="4"/>
  <c r="O4" i="4" s="1"/>
  <c r="Q7" i="4"/>
  <c r="Q4" i="4"/>
  <c r="Q12" i="4"/>
  <c r="N10" i="4"/>
  <c r="O10" i="4" s="1"/>
  <c r="Q10" i="4" s="1"/>
  <c r="N5" i="4"/>
  <c r="O5" i="4" s="1"/>
  <c r="Q5" i="4"/>
  <c r="Q8" i="4"/>
  <c r="N3" i="4"/>
  <c r="O3" i="4" s="1"/>
  <c r="Q3" i="4" s="1"/>
  <c r="N11" i="4"/>
  <c r="O11" i="4" s="1"/>
  <c r="Q11" i="4" s="1"/>
  <c r="Q14" i="4"/>
  <c r="Q2" i="4"/>
  <c r="N9" i="1"/>
  <c r="N12" i="1"/>
  <c r="N3" i="1"/>
  <c r="N15" i="1"/>
  <c r="N2" i="1"/>
  <c r="N14" i="1"/>
  <c r="N6" i="1"/>
  <c r="N16" i="1"/>
  <c r="N10" i="1"/>
  <c r="N7" i="1"/>
  <c r="N5" i="1"/>
  <c r="N8" i="1"/>
  <c r="N13" i="1"/>
  <c r="N11" i="1"/>
  <c r="N4" i="1"/>
  <c r="P10" i="1" l="1"/>
  <c r="P14" i="1"/>
  <c r="R14" i="1" s="1"/>
  <c r="AC14" i="1" s="1"/>
  <c r="AB14" i="1" s="1"/>
  <c r="P12" i="1"/>
  <c r="R12" i="1" s="1"/>
  <c r="AC12" i="1" s="1"/>
  <c r="AB12" i="1" s="1"/>
  <c r="P16" i="1"/>
  <c r="R16" i="1" s="1"/>
  <c r="AC16" i="1" s="1"/>
  <c r="AB16" i="1" s="1"/>
  <c r="P6" i="1"/>
  <c r="R6" i="1" s="1"/>
  <c r="AC6" i="1" s="1"/>
  <c r="AB6" i="1" s="1"/>
  <c r="P2" i="1"/>
  <c r="P4" i="1"/>
  <c r="P15" i="1"/>
  <c r="R15" i="1" s="1"/>
  <c r="AC15" i="1" s="1"/>
  <c r="AB15" i="1" s="1"/>
  <c r="P11" i="1"/>
  <c r="O11" i="6" s="1"/>
  <c r="P3" i="1"/>
  <c r="R3" i="1" s="1"/>
  <c r="AC3" i="1" s="1"/>
  <c r="AB3" i="1" s="1"/>
  <c r="P13" i="1"/>
  <c r="R13" i="1" s="1"/>
  <c r="AC13" i="1" s="1"/>
  <c r="AB13" i="1" s="1"/>
  <c r="P8" i="1"/>
  <c r="B3" i="10" s="1"/>
  <c r="P9" i="1"/>
  <c r="R9" i="1" s="1"/>
  <c r="AC9" i="1" s="1"/>
  <c r="AB9" i="1" s="1"/>
  <c r="P5" i="1"/>
  <c r="R5" i="1" s="1"/>
  <c r="AC5" i="1" s="1"/>
  <c r="AB5" i="1" s="1"/>
  <c r="P7" i="1"/>
  <c r="R7" i="1" s="1"/>
  <c r="AC7" i="1" s="1"/>
  <c r="AB7" i="1" s="1"/>
  <c r="B2" i="10" l="1"/>
  <c r="D2" i="10" s="1"/>
  <c r="M7" i="8"/>
  <c r="L7" i="8" s="1"/>
  <c r="M13" i="8"/>
  <c r="L13" i="8" s="1"/>
  <c r="M9" i="8"/>
  <c r="L9" i="8" s="1"/>
  <c r="M3" i="8"/>
  <c r="L3" i="8" s="1"/>
  <c r="M12" i="8"/>
  <c r="L12" i="8" s="1"/>
  <c r="M5" i="8"/>
  <c r="L5" i="8" s="1"/>
  <c r="M15" i="8"/>
  <c r="L15" i="8" s="1"/>
  <c r="M6" i="8"/>
  <c r="L6" i="8" s="1"/>
  <c r="M16" i="8"/>
  <c r="L16" i="8" s="1"/>
  <c r="M14" i="8"/>
  <c r="L14" i="8" s="1"/>
  <c r="R8" i="1"/>
  <c r="B7" i="10" s="1"/>
  <c r="R2" i="1"/>
  <c r="B6" i="10" s="1"/>
  <c r="Q13" i="6"/>
  <c r="Q3" i="6"/>
  <c r="Q14" i="6"/>
  <c r="O12" i="6"/>
  <c r="Q9" i="6"/>
  <c r="Q15" i="6"/>
  <c r="Q16" i="6"/>
  <c r="O6" i="6"/>
  <c r="O13" i="6"/>
  <c r="O9" i="6"/>
  <c r="O16" i="6"/>
  <c r="R11" i="1"/>
  <c r="O2" i="6"/>
  <c r="O3" i="6"/>
  <c r="O8" i="6"/>
  <c r="R10" i="1"/>
  <c r="O4" i="6"/>
  <c r="O15" i="6"/>
  <c r="O7" i="6"/>
  <c r="O5" i="6"/>
  <c r="O14" i="6"/>
  <c r="O10" i="6"/>
  <c r="R4" i="1"/>
  <c r="AC4" i="1" s="1"/>
  <c r="AB4" i="1" s="1"/>
  <c r="D6" i="10" l="1"/>
  <c r="AC2" i="1"/>
  <c r="AB2" i="1" s="1"/>
  <c r="AC8" i="1"/>
  <c r="AB8" i="1" s="1"/>
  <c r="M10" i="8"/>
  <c r="L10" i="8" s="1"/>
  <c r="AC10" i="1"/>
  <c r="AB10" i="1" s="1"/>
  <c r="M11" i="8"/>
  <c r="L11" i="8" s="1"/>
  <c r="AC11" i="1"/>
  <c r="AB11" i="1" s="1"/>
  <c r="M2" i="8"/>
  <c r="L2" i="8" s="1"/>
  <c r="M4" i="8"/>
  <c r="L4" i="8" s="1"/>
  <c r="M8" i="8"/>
  <c r="L8" i="8" s="1"/>
  <c r="Q12" i="6"/>
  <c r="Q6" i="6"/>
  <c r="Q8" i="6"/>
  <c r="Q2" i="6"/>
  <c r="Q11" i="6"/>
  <c r="Q10" i="6"/>
  <c r="Q4" i="6"/>
  <c r="Q7" i="6"/>
  <c r="Q5" i="6"/>
  <c r="B8" i="10" l="1"/>
  <c r="B12" i="10"/>
  <c r="B9" i="10"/>
  <c r="B13" i="10"/>
  <c r="D12" i="10" l="1"/>
  <c r="D8" i="10"/>
</calcChain>
</file>

<file path=xl/sharedStrings.xml><?xml version="1.0" encoding="utf-8"?>
<sst xmlns="http://schemas.openxmlformats.org/spreadsheetml/2006/main" count="330" uniqueCount="124">
  <si>
    <t>LARGURA A</t>
  </si>
  <si>
    <t>LARGURA B</t>
  </si>
  <si>
    <t>SW</t>
  </si>
  <si>
    <t>ESPESSURA A</t>
  </si>
  <si>
    <t>ESPESSURA B</t>
  </si>
  <si>
    <t>CP NEW</t>
  </si>
  <si>
    <t>CP OLD</t>
  </si>
  <si>
    <t>Coluna1</t>
  </si>
  <si>
    <t>15K</t>
  </si>
  <si>
    <t>16K</t>
  </si>
  <si>
    <t>17K</t>
  </si>
  <si>
    <t>18K</t>
  </si>
  <si>
    <t>19K</t>
  </si>
  <si>
    <t>20K</t>
  </si>
  <si>
    <t>21K</t>
  </si>
  <si>
    <t>22K</t>
  </si>
  <si>
    <t>23K</t>
  </si>
  <si>
    <t>24K</t>
  </si>
  <si>
    <t>25K</t>
  </si>
  <si>
    <t>26K</t>
  </si>
  <si>
    <t>27K</t>
  </si>
  <si>
    <t>28K</t>
  </si>
  <si>
    <t>29K</t>
  </si>
  <si>
    <t>55F</t>
  </si>
  <si>
    <t>49F</t>
  </si>
  <si>
    <t>65F</t>
  </si>
  <si>
    <t>15F</t>
  </si>
  <si>
    <t>38F</t>
  </si>
  <si>
    <t>204G</t>
  </si>
  <si>
    <t>57F</t>
  </si>
  <si>
    <t>50F</t>
  </si>
  <si>
    <t>30F</t>
  </si>
  <si>
    <t>76F</t>
  </si>
  <si>
    <t>206G</t>
  </si>
  <si>
    <t>81F</t>
  </si>
  <si>
    <t>59F</t>
  </si>
  <si>
    <t>16F</t>
  </si>
  <si>
    <t>24F</t>
  </si>
  <si>
    <t>PESO (g)</t>
  </si>
  <si>
    <t>LARGURA MÉD (mm)</t>
  </si>
  <si>
    <t>ESPESSURA MÉD (mm)</t>
  </si>
  <si>
    <t>COMPRIMENTO (cm)</t>
  </si>
  <si>
    <t>VOL (cm³)</t>
  </si>
  <si>
    <t>Densidade Aparente m/V (kg/m³)</t>
  </si>
  <si>
    <t>E (módulo de elasticidade) MPa</t>
  </si>
  <si>
    <t>SW Velocidade (m/s)</t>
  </si>
  <si>
    <t>15K / 55F</t>
  </si>
  <si>
    <t>16K / 49F</t>
  </si>
  <si>
    <t>17K / 65F</t>
  </si>
  <si>
    <t>18K / 15F</t>
  </si>
  <si>
    <t>19K / 38F</t>
  </si>
  <si>
    <t>20K / 204G</t>
  </si>
  <si>
    <t>21K / 57F</t>
  </si>
  <si>
    <t>22K / 50F</t>
  </si>
  <si>
    <t>23K / 30F</t>
  </si>
  <si>
    <t>24K / 76F</t>
  </si>
  <si>
    <t>25K / 206G</t>
  </si>
  <si>
    <t>26K / 81F</t>
  </si>
  <si>
    <t>27K / 59F</t>
  </si>
  <si>
    <t>28K / 16F</t>
  </si>
  <si>
    <t>29K / 24F</t>
  </si>
  <si>
    <t>CP N/V</t>
  </si>
  <si>
    <t>TU (%)</t>
  </si>
  <si>
    <t>VOL sat (cm³)</t>
  </si>
  <si>
    <t>Massa (g)</t>
  </si>
  <si>
    <t>Massa amostra úmida (g)</t>
  </si>
  <si>
    <t>Massa amostra seco (g)</t>
  </si>
  <si>
    <t>Base do CP (mm)</t>
  </si>
  <si>
    <t>Altura Média do CP (mm)</t>
  </si>
  <si>
    <t>Max Force (kgf)</t>
  </si>
  <si>
    <t>fm (kgf/cm²)</t>
  </si>
  <si>
    <t>10% FMax (kgf)</t>
  </si>
  <si>
    <t>40% FMax (kgf)</t>
  </si>
  <si>
    <t>Em (MPa)</t>
  </si>
  <si>
    <t>Count</t>
  </si>
  <si>
    <t>Average</t>
  </si>
  <si>
    <t>StdDev</t>
  </si>
  <si>
    <t>Min</t>
  </si>
  <si>
    <t>Max</t>
  </si>
  <si>
    <t>CP</t>
  </si>
  <si>
    <t>A</t>
  </si>
  <si>
    <t>B</t>
  </si>
  <si>
    <t>Grupo Nodosidade</t>
  </si>
  <si>
    <t>Característica de Nodosidade</t>
  </si>
  <si>
    <t>borda</t>
  </si>
  <si>
    <t>centro</t>
  </si>
  <si>
    <t>CP NOVO</t>
  </si>
  <si>
    <t>CP N/V (2)</t>
  </si>
  <si>
    <t>fm [errada] (kgf/cm²)</t>
  </si>
  <si>
    <t>fm [corrigida] (kgf/cm²)</t>
  </si>
  <si>
    <t>Em [errada] (MPa)</t>
  </si>
  <si>
    <t>FP</t>
  </si>
  <si>
    <t>Em [corrigida (FP=300)] (MPa)</t>
  </si>
  <si>
    <t>Em [corrigida] com FP Real da peça</t>
  </si>
  <si>
    <t>Vão do CP (mm)</t>
  </si>
  <si>
    <t>MOE (Mpa) (Estático)</t>
  </si>
  <si>
    <t>MOE_est (Mpa)</t>
  </si>
  <si>
    <t>MOE_din (Mpa)</t>
  </si>
  <si>
    <t>ME.Bás (kg/m³)</t>
  </si>
  <si>
    <t>ME.Aparente m/V (kg/m³)</t>
  </si>
  <si>
    <t>Média MOE_din (Mpa) Grupo A</t>
  </si>
  <si>
    <t>Média MOE_din (Mpa) Grupo B</t>
  </si>
  <si>
    <t>Média ME.Bás. (kg/m³) Grupo A</t>
  </si>
  <si>
    <t>Média ME.Bás. (kg/m³) Grupo B</t>
  </si>
  <si>
    <t>Média SW Vel. (m/s) Grupo B</t>
  </si>
  <si>
    <t>Média SW Vel. (m/s) Grupo A</t>
  </si>
  <si>
    <t>SW Vel. (m/s)</t>
  </si>
  <si>
    <t>Qtde de nós</t>
  </si>
  <si>
    <t>Fator de Proporcionalidade F.P (E/fm)</t>
  </si>
  <si>
    <t>Valor</t>
  </si>
  <si>
    <t>Média Fator de Proporcionalidade Grupo A</t>
  </si>
  <si>
    <t>Média Fator de Proporcionalidade Grupo B</t>
  </si>
  <si>
    <t>Tipo de Média</t>
  </si>
  <si>
    <t xml:space="preserve">Média ME.Aparente (kg/m³) Grupo B </t>
  </si>
  <si>
    <t xml:space="preserve">Média ME.Aparente (kg/m³) Grupo A </t>
  </si>
  <si>
    <t>Média MOE_est (Mpa) Grupo A</t>
  </si>
  <si>
    <t>Média MOE_est (Mpa) Grupo B</t>
  </si>
  <si>
    <t>Diferença Entre A e B</t>
  </si>
  <si>
    <t>Diferença MOE Din x Est</t>
  </si>
  <si>
    <t>Coef. Variação</t>
  </si>
  <si>
    <t>MOE (Mpa) (Dinâmico)</t>
  </si>
  <si>
    <t>é o dinâmico+10%</t>
  </si>
  <si>
    <t xml:space="preserve">Nota (12/12): tentei recalcular fm para corrigir erro de escala durante o ensaio (vão de 1691mm) mas que foi computado como 16,9. </t>
  </si>
  <si>
    <t>Nota (12/12): MOE_est corrigido via correlação (k=Fator de Proporcionalidade de cada peça, (FP=MOEdin/fm)) não deu certo também.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</si>
</sst>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13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medium">
        <color theme="9"/>
      </bottom>
      <diagonal/>
    </border>
    <border>
      <left style="thin">
        <color theme="9"/>
      </left>
      <right style="thin">
        <color theme="9"/>
      </right>
      <top/>
      <bottom style="medium">
        <color theme="9"/>
      </bottom>
      <diagonal/>
    </border>
    <border>
      <left style="thin">
        <color theme="9"/>
      </left>
      <right/>
      <top/>
      <bottom style="medium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0" fontId="2" fillId="0" borderId="0" xfId="0" applyFont="1"/>
    <xf numFmtId="9" fontId="0" fillId="0" borderId="0" xfId="1" applyFont="1"/>
    <xf numFmtId="165" fontId="0" fillId="0" borderId="0" xfId="1" applyNumberFormat="1" applyFont="1"/>
    <xf numFmtId="10" fontId="0" fillId="0" borderId="0" xfId="1" applyNumberFormat="1" applyFont="1"/>
    <xf numFmtId="0" fontId="2" fillId="0" borderId="1" xfId="0" applyFont="1" applyBorder="1"/>
    <xf numFmtId="2" fontId="0" fillId="2" borderId="2" xfId="0" applyNumberFormat="1" applyFill="1" applyBorder="1"/>
    <xf numFmtId="2" fontId="2" fillId="2" borderId="2" xfId="0" applyNumberFormat="1" applyFont="1" applyFill="1" applyBorder="1"/>
    <xf numFmtId="0" fontId="2" fillId="2" borderId="2" xfId="0" applyFont="1" applyFill="1" applyBorder="1"/>
    <xf numFmtId="0" fontId="2" fillId="0" borderId="2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2" borderId="3" xfId="0" applyFont="1" applyFill="1" applyBorder="1"/>
    <xf numFmtId="0" fontId="2" fillId="0" borderId="3" xfId="0" applyFont="1" applyBorder="1"/>
    <xf numFmtId="2" fontId="2" fillId="2" borderId="3" xfId="0" applyNumberFormat="1" applyFont="1" applyFill="1" applyBorder="1"/>
    <xf numFmtId="2" fontId="0" fillId="2" borderId="4" xfId="0" applyNumberFormat="1" applyFill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2" fontId="2" fillId="2" borderId="8" xfId="0" applyNumberFormat="1" applyFont="1" applyFill="1" applyBorder="1"/>
    <xf numFmtId="2" fontId="2" fillId="2" borderId="9" xfId="0" applyNumberFormat="1" applyFont="1" applyFill="1" applyBorder="1"/>
    <xf numFmtId="2" fontId="0" fillId="2" borderId="0" xfId="0" applyNumberFormat="1" applyFill="1"/>
    <xf numFmtId="2" fontId="2" fillId="2" borderId="10" xfId="0" applyNumberFormat="1" applyFont="1" applyFill="1" applyBorder="1"/>
    <xf numFmtId="2" fontId="0" fillId="2" borderId="10" xfId="0" applyNumberFormat="1" applyFill="1" applyBorder="1"/>
    <xf numFmtId="2" fontId="0" fillId="2" borderId="9" xfId="0" applyNumberFormat="1" applyFill="1" applyBorder="1"/>
    <xf numFmtId="0" fontId="4" fillId="0" borderId="0" xfId="0" applyFont="1"/>
    <xf numFmtId="2" fontId="0" fillId="2" borderId="11" xfId="1" applyNumberFormat="1" applyFont="1" applyFill="1" applyBorder="1"/>
    <xf numFmtId="9" fontId="0" fillId="0" borderId="0" xfId="0" applyNumberFormat="1"/>
    <xf numFmtId="2" fontId="2" fillId="2" borderId="4" xfId="0" applyNumberFormat="1" applyFont="1" applyFill="1" applyBorder="1"/>
    <xf numFmtId="2" fontId="2" fillId="2" borderId="12" xfId="0" applyNumberFormat="1" applyFont="1" applyFill="1" applyBorder="1"/>
  </cellXfs>
  <cellStyles count="2">
    <cellStyle name="Normal" xfId="0" builtinId="0"/>
    <cellStyle name="Porcentagem" xfId="1" builtinId="5"/>
  </cellStyles>
  <dxfs count="8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/>
        </left>
        <right/>
        <top style="thin">
          <color theme="9"/>
        </top>
        <bottom style="thin">
          <color theme="9"/>
        </bottom>
        <vertical/>
        <horizontal/>
      </border>
    </dxf>
    <dxf>
      <numFmt numFmtId="165" formatCode="0.0%"/>
    </dxf>
    <dxf>
      <numFmt numFmtId="14" formatCode="0.00%"/>
    </dxf>
    <dxf>
      <numFmt numFmtId="2" formatCode="0.00"/>
    </dxf>
    <dxf>
      <numFmt numFmtId="165" formatCode="0.0%"/>
    </dxf>
    <dxf>
      <numFmt numFmtId="165" formatCode="0.0%"/>
    </dxf>
    <dxf>
      <numFmt numFmtId="165" formatCode="0.0%"/>
    </dxf>
    <dxf>
      <numFmt numFmtId="2" formatCode="0.00"/>
    </dxf>
    <dxf>
      <numFmt numFmtId="2" formatCode="0.00"/>
    </dxf>
    <dxf>
      <numFmt numFmtId="2" formatCode="0.00"/>
    </dxf>
    <dxf>
      <numFmt numFmtId="13" formatCode="0%"/>
    </dxf>
    <dxf>
      <numFmt numFmtId="2" formatCode="0.00"/>
    </dxf>
    <dxf>
      <numFmt numFmtId="2" formatCode="0.00"/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border diagonalUp="0" diagonalDown="0" outline="0">
        <left style="thin">
          <color theme="9"/>
        </left>
        <right/>
        <top style="thin">
          <color theme="9"/>
        </top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border outline="0">
        <top style="thin">
          <color theme="9"/>
        </top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</dxf>
    <dxf>
      <border outline="0">
        <bottom style="medium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/>
      </font>
    </dxf>
    <dxf>
      <font>
        <b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numFmt numFmtId="14" formatCode="0.00%"/>
    </dxf>
    <dxf>
      <numFmt numFmtId="0" formatCode="General"/>
    </dxf>
    <dxf>
      <numFmt numFmtId="2" formatCode="0.00"/>
    </dxf>
    <dxf>
      <font>
        <b/>
      </font>
      <numFmt numFmtId="2" formatCode="0.00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numFmt numFmtId="2" formatCode="0.00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/>
        </left>
        <right/>
        <top style="thin">
          <color theme="9"/>
        </top>
        <bottom style="thin">
          <color theme="9"/>
        </bottom>
        <vertical/>
        <horizontal/>
      </border>
    </dxf>
    <dxf>
      <numFmt numFmtId="2" formatCode="0.00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/>
        </left>
        <right/>
        <top style="thin">
          <color theme="9"/>
        </top>
        <bottom style="thin">
          <color theme="9"/>
        </bottom>
        <vertical/>
        <horizontal/>
      </border>
    </dxf>
    <dxf>
      <alignment horizontal="right" vertical="bottom" textRotation="0" wrapText="0" indent="0" justifyLastLine="0" shrinkToFit="0" readingOrder="0"/>
    </dxf>
    <dxf>
      <numFmt numFmtId="1" formatCode="0"/>
    </dxf>
    <dxf>
      <numFmt numFmtId="164" formatCode="0.0"/>
    </dxf>
    <dxf>
      <numFmt numFmtId="14" formatCode="0.00%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2" formatCode="0.00"/>
    </dxf>
    <dxf>
      <numFmt numFmtId="164" formatCode="0.0"/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</font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2" formatCode="0.00"/>
    </dxf>
    <dxf>
      <numFmt numFmtId="164" formatCode="0.0"/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Médias</a:t>
            </a:r>
            <a:r>
              <a:rPr lang="pt-BR" baseline="0"/>
              <a:t> de ME Aparente e ME Básica Entre Grupos A e B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'Médias e Gráf.'!$A$2:$A$5</c:f>
              <c:strCache>
                <c:ptCount val="4"/>
                <c:pt idx="0">
                  <c:v>Média ME.Aparente (kg/m³) Grupo A </c:v>
                </c:pt>
                <c:pt idx="1">
                  <c:v>Média ME.Aparente (kg/m³) Grupo B </c:v>
                </c:pt>
                <c:pt idx="2">
                  <c:v>Média ME.Bás. (kg/m³) Grupo A</c:v>
                </c:pt>
                <c:pt idx="3">
                  <c:v>Média ME.Bás. (kg/m³) Grupo B</c:v>
                </c:pt>
              </c:strCache>
            </c:strRef>
          </c:cat>
          <c:val>
            <c:numRef>
              <c:f>'Médias e Gráf.'!$B$2:$B$5</c:f>
              <c:numCache>
                <c:formatCode>General</c:formatCode>
                <c:ptCount val="4"/>
                <c:pt idx="0">
                  <c:v>422.30441597430109</c:v>
                </c:pt>
                <c:pt idx="1">
                  <c:v>418.25730831237661</c:v>
                </c:pt>
                <c:pt idx="2">
                  <c:v>338.07181736066406</c:v>
                </c:pt>
                <c:pt idx="3">
                  <c:v>333.97443449798146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11E-A1C2-05D8724F3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9275263"/>
        <c:axId val="1539276223"/>
      </c:barChart>
      <c:catAx>
        <c:axId val="153927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9276223"/>
        <c:crosses val="autoZero"/>
        <c:auto val="1"/>
        <c:lblAlgn val="ctr"/>
        <c:lblOffset val="100"/>
        <c:noMultiLvlLbl val="0"/>
      </c:catAx>
      <c:valAx>
        <c:axId val="1539276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39275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Médias de MOE</a:t>
            </a:r>
            <a:r>
              <a:rPr lang="pt-BR" baseline="0"/>
              <a:t> Dinâmico e MOE Estático Entre Grupos A e B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'Médias e Gráf.'!$A$6:$A$9</c:f>
              <c:strCache>
                <c:ptCount val="4"/>
                <c:pt idx="0">
                  <c:v>Média MOE_din (Mpa) Grupo A</c:v>
                </c:pt>
                <c:pt idx="1">
                  <c:v>Média MOE_din (Mpa) Grupo B</c:v>
                </c:pt>
                <c:pt idx="2">
                  <c:v>Média MOE_est (Mpa) Grupo A</c:v>
                </c:pt>
                <c:pt idx="3">
                  <c:v>Média MOE_est (Mpa) Grupo B</c:v>
                </c:pt>
              </c:strCache>
            </c:strRef>
          </c:cat>
          <c:val>
            <c:numRef>
              <c:f>'Médias e Gráf.'!$B$6:$B$9</c:f>
              <c:numCache>
                <c:formatCode>General</c:formatCode>
                <c:ptCount val="4"/>
                <c:pt idx="0">
                  <c:v>9434.7507440762583</c:v>
                </c:pt>
                <c:pt idx="1">
                  <c:v>7223.6423348616026</c:v>
                </c:pt>
                <c:pt idx="2">
                  <c:v>8981.7228878522837</c:v>
                </c:pt>
                <c:pt idx="3">
                  <c:v>7839.7363667382224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4-4BFD-818A-5B66D397F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1676815"/>
        <c:axId val="1591674415"/>
      </c:barChart>
      <c:catAx>
        <c:axId val="1591676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91674415"/>
        <c:crosses val="autoZero"/>
        <c:auto val="1"/>
        <c:lblAlgn val="ctr"/>
        <c:lblOffset val="100"/>
        <c:noMultiLvlLbl val="0"/>
      </c:catAx>
      <c:valAx>
        <c:axId val="1591674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91676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Média</a:t>
            </a:r>
            <a:r>
              <a:rPr lang="pt-BR" baseline="0"/>
              <a:t> de Velocidades Medidas por </a:t>
            </a:r>
            <a:r>
              <a:rPr lang="pt-BR" i="1" baseline="0"/>
              <a:t>StressWave Timer </a:t>
            </a:r>
          </a:p>
          <a:p>
            <a:pPr>
              <a:defRPr/>
            </a:pPr>
            <a:r>
              <a:rPr lang="pt-BR" baseline="0"/>
              <a:t>Entre Grupos A e B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'Médias e Gráf.'!$A$10:$A$11</c:f>
              <c:strCache>
                <c:ptCount val="2"/>
                <c:pt idx="0">
                  <c:v>Média SW Vel. (m/s) Grupo A</c:v>
                </c:pt>
                <c:pt idx="1">
                  <c:v>Média SW Vel. (m/s) Grupo B</c:v>
                </c:pt>
              </c:strCache>
            </c:strRef>
          </c:cat>
          <c:val>
            <c:numRef>
              <c:f>'Médias e Gráf.'!$B$10:$B$11</c:f>
              <c:numCache>
                <c:formatCode>General</c:formatCode>
                <c:ptCount val="2"/>
                <c:pt idx="0">
                  <c:v>4718.7130170394257</c:v>
                </c:pt>
                <c:pt idx="1">
                  <c:v>4137.0076201877919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1A-4394-98A0-40EAFB8ED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9280351"/>
        <c:axId val="1479280831"/>
      </c:barChart>
      <c:catAx>
        <c:axId val="1479280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79280831"/>
        <c:crosses val="autoZero"/>
        <c:auto val="1"/>
        <c:lblAlgn val="ctr"/>
        <c:lblOffset val="100"/>
        <c:noMultiLvlLbl val="0"/>
      </c:catAx>
      <c:valAx>
        <c:axId val="1479280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79280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0</xdr:row>
      <xdr:rowOff>100012</xdr:rowOff>
    </xdr:from>
    <xdr:to>
      <xdr:col>13</xdr:col>
      <xdr:colOff>85725</xdr:colOff>
      <xdr:row>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5480326-2356-769A-0026-0FD7565D3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128587</xdr:colOff>
      <xdr:row>9</xdr:row>
      <xdr:rowOff>52387</xdr:rowOff>
    </xdr:from>
    <xdr:to>
      <xdr:col>13</xdr:col>
      <xdr:colOff>66675</xdr:colOff>
      <xdr:row>21</xdr:row>
      <xdr:rowOff>52387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3362139-0E26-8E12-F4D4-51D272171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266699</xdr:colOff>
      <xdr:row>3</xdr:row>
      <xdr:rowOff>33336</xdr:rowOff>
    </xdr:from>
    <xdr:to>
      <xdr:col>18</xdr:col>
      <xdr:colOff>200024</xdr:colOff>
      <xdr:row>17</xdr:row>
      <xdr:rowOff>152399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7196157-4935-C02B-7D3E-7C872EBA5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211677</xdr:colOff>
      <xdr:row>24</xdr:row>
      <xdr:rowOff>158750</xdr:rowOff>
    </xdr:from>
    <xdr:ext cx="1969548" cy="5841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399C75D2-0F44-266E-A1B1-60BB27336FDA}"/>
                </a:ext>
              </a:extLst>
            </xdr:cNvPr>
            <xdr:cNvSpPr txBox="1"/>
          </xdr:nvSpPr>
          <xdr:spPr>
            <a:xfrm>
              <a:off x="211677" y="4740275"/>
              <a:ext cx="1969548" cy="5841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20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𝑓𝑚</m:t>
                    </m:r>
                    <m:r>
                      <a:rPr lang="pt-BR" sz="20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2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3</m:t>
                        </m:r>
                        <m:r>
                          <m:rPr>
                            <m:nor/>
                          </m:rPr>
                          <a:rPr lang="pt-BR" sz="2000" b="0" i="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⋅</m:t>
                        </m:r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𝐹𝑚𝑎𝑥</m:t>
                        </m:r>
                        <m:r>
                          <m:rPr>
                            <m:nor/>
                          </m:rPr>
                          <a:rPr lang="pt-BR" sz="2000" b="0" i="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⋅</m:t>
                        </m:r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𝐿</m:t>
                        </m:r>
                      </m:num>
                      <m:den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m:rPr>
                            <m:nor/>
                          </m:rPr>
                          <a:rPr lang="pt-BR" sz="2000" b="0" i="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⋅</m:t>
                        </m:r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𝑏</m:t>
                        </m:r>
                        <m:r>
                          <m:rPr>
                            <m:nor/>
                          </m:rPr>
                          <a:rPr lang="pt-BR" sz="2000" b="0" i="0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⋅</m:t>
                        </m:r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h</m:t>
                        </m:r>
                        <m:r>
                          <a:rPr lang="pt-BR" sz="2000" b="0" i="1">
                            <a:latin typeface="Cambria Math" panose="02040503050406030204" pitchFamily="18" charset="0"/>
                          </a:rPr>
                          <m:t>²</m:t>
                        </m:r>
                      </m:den>
                    </m:f>
                  </m:oMath>
                </m:oMathPara>
              </a14:m>
              <a:endParaRPr lang="pt-BR" sz="2000"/>
            </a:p>
          </xdr:txBody>
        </xdr:sp>
      </mc:Choice>
      <mc:Fallback xmlns="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399C75D2-0F44-266E-A1B1-60BB27336FDA}"/>
                </a:ext>
              </a:extLst>
            </xdr:cNvPr>
            <xdr:cNvSpPr txBox="1"/>
          </xdr:nvSpPr>
          <xdr:spPr>
            <a:xfrm>
              <a:off x="211677" y="4740275"/>
              <a:ext cx="1969548" cy="5841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t-BR" sz="2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𝑓𝑚</a:t>
              </a:r>
              <a:r>
                <a:rPr lang="pt-BR" sz="2000" i="0">
                  <a:latin typeface="Cambria Math" panose="02040503050406030204" pitchFamily="18" charset="0"/>
                </a:rPr>
                <a:t>=(</a:t>
              </a:r>
              <a:r>
                <a:rPr lang="pt-BR" sz="2000" b="0" i="0">
                  <a:latin typeface="Cambria Math" panose="02040503050406030204" pitchFamily="18" charset="0"/>
                </a:rPr>
                <a:t>3</a:t>
              </a:r>
              <a:r>
                <a:rPr lang="pt-BR" sz="2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"⋅</a:t>
              </a:r>
              <a:r>
                <a:rPr lang="pt-BR" sz="2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</a:t>
              </a:r>
              <a:r>
                <a:rPr lang="pt-BR" sz="2000" b="0" i="0">
                  <a:latin typeface="Cambria Math" panose="02040503050406030204" pitchFamily="18" charset="0"/>
                </a:rPr>
                <a:t>𝐹𝑚𝑎𝑥</a:t>
              </a:r>
              <a:r>
                <a:rPr lang="pt-BR" sz="2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"⋅</a:t>
              </a:r>
              <a:r>
                <a:rPr lang="pt-BR" sz="2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</a:t>
              </a:r>
              <a:r>
                <a:rPr lang="pt-BR" sz="2000" b="0" i="0">
                  <a:latin typeface="Cambria Math" panose="02040503050406030204" pitchFamily="18" charset="0"/>
                </a:rPr>
                <a:t>𝐿)/(2</a:t>
              </a:r>
              <a:r>
                <a:rPr lang="pt-BR" sz="2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"⋅</a:t>
              </a:r>
              <a:r>
                <a:rPr lang="pt-BR" sz="2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</a:t>
              </a:r>
              <a:r>
                <a:rPr lang="pt-BR" sz="2000" b="0" i="0">
                  <a:latin typeface="Cambria Math" panose="02040503050406030204" pitchFamily="18" charset="0"/>
                </a:rPr>
                <a:t>𝑏</a:t>
              </a:r>
              <a:r>
                <a:rPr lang="pt-BR" sz="2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"⋅</a:t>
              </a:r>
              <a:r>
                <a:rPr lang="pt-BR" sz="2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</a:t>
              </a:r>
              <a:r>
                <a:rPr lang="pt-BR" sz="2000" b="0" i="0">
                  <a:latin typeface="Cambria Math" panose="02040503050406030204" pitchFamily="18" charset="0"/>
                </a:rPr>
                <a:t>ℎ²)</a:t>
              </a:r>
              <a:endParaRPr lang="pt-BR" sz="2000"/>
            </a:p>
          </xdr:txBody>
        </xdr:sp>
      </mc:Fallback>
    </mc:AlternateContent>
    <xdr:clientData/>
  </xdr:oneCellAnchor>
  <xdr:oneCellAnchor>
    <xdr:from>
      <xdr:col>2</xdr:col>
      <xdr:colOff>506952</xdr:colOff>
      <xdr:row>25</xdr:row>
      <xdr:rowOff>111125</xdr:rowOff>
    </xdr:from>
    <xdr:ext cx="1969548" cy="3159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73290E7E-1690-4E31-9F89-B9D504623840}"/>
                </a:ext>
              </a:extLst>
            </xdr:cNvPr>
            <xdr:cNvSpPr txBox="1"/>
          </xdr:nvSpPr>
          <xdr:spPr>
            <a:xfrm>
              <a:off x="2402427" y="4883150"/>
              <a:ext cx="1969548" cy="315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20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𝐸𝑚</m:t>
                    </m:r>
                    <m:r>
                      <a:rPr lang="pt-BR" sz="20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pt-BR" sz="2000" b="0" i="1">
                        <a:latin typeface="Cambria Math" panose="02040503050406030204" pitchFamily="18" charset="0"/>
                      </a:rPr>
                      <m:t>𝑘</m:t>
                    </m:r>
                    <m:r>
                      <m:rPr>
                        <m:nor/>
                      </m:rPr>
                      <a:rPr lang="pt-BR" sz="2000" b="0" i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⋅</m:t>
                    </m:r>
                    <m:r>
                      <a:rPr lang="pt-BR" sz="2000" b="0" i="1">
                        <a:latin typeface="Cambria Math" panose="02040503050406030204" pitchFamily="18" charset="0"/>
                      </a:rPr>
                      <m:t>𝑓𝑚</m:t>
                    </m:r>
                    <m:r>
                      <a:rPr lang="pt-BR" sz="2000" i="1">
                        <a:latin typeface="Cambria Math" panose="02040503050406030204" pitchFamily="18" charset="0"/>
                      </a:rPr>
                      <m:t>𝑘</m:t>
                    </m:r>
                  </m:oMath>
                </m:oMathPara>
              </a14:m>
              <a:endParaRPr lang="pt-BR" sz="2000"/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73290E7E-1690-4E31-9F89-B9D504623840}"/>
                </a:ext>
              </a:extLst>
            </xdr:cNvPr>
            <xdr:cNvSpPr txBox="1"/>
          </xdr:nvSpPr>
          <xdr:spPr>
            <a:xfrm>
              <a:off x="2402427" y="4883150"/>
              <a:ext cx="1969548" cy="315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t-BR" sz="2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𝐸</a:t>
              </a:r>
              <a:r>
                <a:rPr lang="pt-BR" sz="2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𝑚</a:t>
              </a:r>
              <a:r>
                <a:rPr lang="pt-BR" sz="2000" i="0">
                  <a:latin typeface="Cambria Math" panose="02040503050406030204" pitchFamily="18" charset="0"/>
                </a:rPr>
                <a:t>=</a:t>
              </a:r>
              <a:r>
                <a:rPr lang="pt-BR" sz="2000" b="0" i="0">
                  <a:latin typeface="Cambria Math" panose="02040503050406030204" pitchFamily="18" charset="0"/>
                </a:rPr>
                <a:t>𝑘</a:t>
              </a:r>
              <a:r>
                <a:rPr lang="pt-BR" sz="2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"⋅" </a:t>
              </a:r>
              <a:r>
                <a:rPr lang="pt-BR" sz="2000" b="0" i="0">
                  <a:latin typeface="Cambria Math" panose="02040503050406030204" pitchFamily="18" charset="0"/>
                </a:rPr>
                <a:t>𝑓𝑚</a:t>
              </a:r>
              <a:r>
                <a:rPr lang="pt-BR" sz="2000" i="0">
                  <a:latin typeface="Cambria Math" panose="02040503050406030204" pitchFamily="18" charset="0"/>
                </a:rPr>
                <a:t>𝑘</a:t>
              </a:r>
              <a:endParaRPr lang="pt-BR" sz="2000"/>
            </a:p>
          </xdr:txBody>
        </xdr:sp>
      </mc:Fallback>
    </mc:AlternateContent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5715CB9-A6C5-470A-95FE-8421CB3F52C8}" name="pva24_" displayName="pva24_" ref="A1:Q16" totalsRowShown="0">
  <autoFilter ref="A1:Q16" xr:uid="{00C61C9C-ADC6-423A-A52D-1C44EF9AEFBE}"/>
  <tableColumns count="17">
    <tableColumn id="1" xr3:uid="{D0581296-46B2-41B3-BDD2-3A32B3C40E4D}" name="CP N/V" dataDxfId="88"/>
    <tableColumn id="17" xr3:uid="{09A3052C-D9E9-4F61-ADDB-B68A1A573F14}" name="CP NEW" dataDxfId="87"/>
    <tableColumn id="16" xr3:uid="{00EB7CB7-B1D0-40F1-85C1-3F004061571D}" name="Coluna1" dataDxfId="86">
      <calculatedColumnFormula>B2 &amp;" / "&amp; D2</calculatedColumnFormula>
    </tableColumn>
    <tableColumn id="2" xr3:uid="{B6D5D207-6436-41D0-B3BD-932DC81D5774}" name="CP OLD" dataDxfId="85"/>
    <tableColumn id="3" xr3:uid="{A896CB7B-F468-42B4-92A1-A59820079E1E}" name="COMPRIMENTO (cm)" dataDxfId="84"/>
    <tableColumn id="4" xr3:uid="{1C6568C0-532E-48E5-A580-933CBE82C70D}" name="LARGURA A" dataDxfId="83"/>
    <tableColumn id="5" xr3:uid="{D09E2E7D-E55A-4ECF-B8CD-52A6118B10C3}" name="SW" dataDxfId="82"/>
    <tableColumn id="6" xr3:uid="{BB31B3DB-A912-4E31-B6DD-1DE373298201}" name="LARGURA B" dataDxfId="81"/>
    <tableColumn id="7" xr3:uid="{546F1F83-610C-469B-B293-D45AE1BFA58F}" name="ESPESSURA A" dataDxfId="80"/>
    <tableColumn id="8" xr3:uid="{A7DC5BBB-5405-4C08-8891-D80639737848}" name="ESPESSURA B" dataDxfId="79"/>
    <tableColumn id="9" xr3:uid="{6451219D-99C9-4BDD-AA11-467DA854AC3F}" name="PESO (g)" dataDxfId="78"/>
    <tableColumn id="10" xr3:uid="{0CABED59-3542-4C25-8542-58FFB2EF517E}" name="LARGURA MÉD (mm)" dataDxfId="77">
      <calculatedColumnFormula>AVERAGE(pva24_[[#This Row],[LARGURA A]],pva24_[[#This Row],[LARGURA B]])</calculatedColumnFormula>
    </tableColumn>
    <tableColumn id="11" xr3:uid="{E34FBE5B-330D-4EF7-866F-2BC7523E90FE}" name="ESPESSURA MÉD (mm)" dataDxfId="76">
      <calculatedColumnFormula>AVERAGE(pva24_[[#This Row],[ESPESSURA A]],pva24_[[#This Row],[ESPESSURA B]])</calculatedColumnFormula>
    </tableColumn>
    <tableColumn id="12" xr3:uid="{ECD8E4C9-D7A1-4B9F-A1A8-F00FB6B4D83E}" name="VOL (cm³)" dataDxfId="75">
      <calculatedColumnFormula>pva24_[[#This Row],[COMPRIMENTO (cm)]]*(pva24_[[#This Row],[LARGURA MÉD (mm)]]*100)*(pva24_[[#This Row],[ESPESSURA MÉD (mm)]]*100)</calculatedColumnFormula>
    </tableColumn>
    <tableColumn id="13" xr3:uid="{9EB02E48-917C-4141-8B9E-F74FC7F717AF}" name="Densidade Aparente m/V (kg/m³)" dataDxfId="74">
      <calculatedColumnFormula>(pva24_[[#This Row],[PESO (g)]]*1000)/(pva24_[[#This Row],[VOL (cm³)]])*1000000</calculatedColumnFormula>
    </tableColumn>
    <tableColumn id="14" xr3:uid="{C55C3415-EE31-4A88-8E10-9EEF2584EACC}" name="SW Velocidade (m/s)" dataDxfId="73">
      <calculatedColumnFormula>(pva24_[[#This Row],[COMPRIMENTO (cm)]]/100)/(pva24_[[#This Row],[SW]]/1000000)</calculatedColumnFormula>
    </tableColumn>
    <tableColumn id="15" xr3:uid="{0AB784A4-64C2-4168-8A11-165A5DC8B177}" name="E (módulo de elasticidade) MPa" dataDxfId="72">
      <calculatedColumnFormula>(((pva24_[[#This Row],[SW Velocidade (m/s)]]^2)*pva24_[[#This Row],[Densidade Aparente m/V (kg/m³)]])/1000000)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C61C9C-ADC6-423A-A52D-1C44EF9AEFBE}" name="ic25_" displayName="ic25_" ref="A1:AC16" totalsRowShown="0">
  <autoFilter ref="A1:AC16" xr:uid="{00C61C9C-ADC6-423A-A52D-1C44EF9AEFBE}"/>
  <sortState xmlns:xlrd2="http://schemas.microsoft.com/office/spreadsheetml/2017/richdata2" ref="A2:Y16">
    <sortCondition ref="X1:X16"/>
  </sortState>
  <tableColumns count="29">
    <tableColumn id="1" xr3:uid="{9BFCECDE-4ADD-4614-9F40-B7395A281FDF}" name="CP N/V" dataDxfId="71"/>
    <tableColumn id="17" xr3:uid="{8C7790BE-006D-4227-B7F0-DBD62545B458}" name="CP NOVO" dataDxfId="70"/>
    <tableColumn id="16" xr3:uid="{D027886B-BB78-468D-A5DA-8027075E499E}" name="CP N/V (2)" dataDxfId="69">
      <calculatedColumnFormula>B2 &amp;" / "&amp; D2</calculatedColumnFormula>
    </tableColumn>
    <tableColumn id="2" xr3:uid="{A5AECFFD-5FEF-482E-9560-DCA8EA579726}" name="CP OLD" dataDxfId="68"/>
    <tableColumn id="3" xr3:uid="{C457DC0A-7B96-4AE1-8AA8-1367D3508C81}" name="COMPRIMENTO (cm)" dataDxfId="67"/>
    <tableColumn id="4" xr3:uid="{690F006B-74DA-4C1A-85EE-5AACFA32361D}" name="LARGURA A" dataDxfId="66"/>
    <tableColumn id="5" xr3:uid="{8DBEABA9-810E-4AD0-885D-2C73936A5ED4}" name="SW" dataDxfId="65"/>
    <tableColumn id="6" xr3:uid="{68F8E76C-CA3E-4041-BCF4-3B359A51754E}" name="LARGURA B" dataDxfId="64"/>
    <tableColumn id="7" xr3:uid="{A0C4ECE2-0AE8-40C1-B029-5CFFC57B5398}" name="ESPESSURA A" dataDxfId="63"/>
    <tableColumn id="8" xr3:uid="{C0CCBD5B-CA6F-46E3-BBC9-3B0E655B92E6}" name="ESPESSURA B" dataDxfId="62"/>
    <tableColumn id="9" xr3:uid="{A94B20DD-6FD0-4A6F-9E9E-EE2A640C4388}" name="Massa (g)" dataDxfId="61"/>
    <tableColumn id="10" xr3:uid="{0C5AB862-4FB0-480B-B81D-09253C4F2B34}" name="LARGURA MÉD (mm)" dataDxfId="60">
      <calculatedColumnFormula>AVERAGE(ic25_[[#This Row],[LARGURA A]],ic25_[[#This Row],[LARGURA B]])</calculatedColumnFormula>
    </tableColumn>
    <tableColumn id="11" xr3:uid="{8540EFDC-3811-460E-989F-0D406A46CB0D}" name="ESPESSURA MÉD (mm)" dataDxfId="59">
      <calculatedColumnFormula>AVERAGE(ic25_[[#This Row],[ESPESSURA A]],ic25_[[#This Row],[ESPESSURA B]])</calculatedColumnFormula>
    </tableColumn>
    <tableColumn id="12" xr3:uid="{E74EE6D8-024C-4616-B04A-2AAA1D4AA04B}" name="VOL (cm³)" dataDxfId="58">
      <calculatedColumnFormula>ic25_[[#This Row],[COMPRIMENTO (cm)]]*(ic25_[[#This Row],[LARGURA MÉD (mm)]]*100)*(ic25_[[#This Row],[ESPESSURA MÉD (mm)]]*100)</calculatedColumnFormula>
    </tableColumn>
    <tableColumn id="22" xr3:uid="{9FF88C1C-8DEB-40F8-88E5-6B9E2F70AE59}" name="VOL sat (cm³)" dataDxfId="57"/>
    <tableColumn id="13" xr3:uid="{FF05CFFD-F5B2-4806-9CC5-C7910DD1D848}" name="ME.Aparente m/V (kg/m³)" dataDxfId="56">
      <calculatedColumnFormula>(ic25_[[#This Row],[Massa (g)]]*1000)/(ic25_[[#This Row],[VOL (cm³)]])*1000000</calculatedColumnFormula>
    </tableColumn>
    <tableColumn id="14" xr3:uid="{FFC36824-747D-4CFD-8415-C7EB9415EBEF}" name="SW Vel. (m/s)" dataDxfId="55">
      <calculatedColumnFormula>(ic25_[[#This Row],[COMPRIMENTO (cm)]]/100)/(ic25_[[#This Row],[SW]]/1000000)</calculatedColumnFormula>
    </tableColumn>
    <tableColumn id="15" xr3:uid="{388E511C-9BC7-43F2-B51B-E7B7829810BB}" name="MOE_din (Mpa)" dataDxfId="54">
      <calculatedColumnFormula>(((ic25_[[#This Row],[SW Vel. (m/s)]]^2)*ic25_[[#This Row],[ME.Aparente m/V (kg/m³)]])/1000000)</calculatedColumnFormula>
    </tableColumn>
    <tableColumn id="18" xr3:uid="{98856F91-40AE-4C21-96BA-FCFC9F41A14D}" name="Massa amostra úmida (g)" dataDxfId="53"/>
    <tableColumn id="19" xr3:uid="{19D61389-DBA5-4ECF-A011-35AE0ED3360C}" name="Massa amostra seco (g)" dataDxfId="52"/>
    <tableColumn id="20" xr3:uid="{FDB7ADC4-FBB0-4DB6-B2CA-2B72AB840788}" name="TU (%)" dataDxfId="51" dataCellStyle="Porcentagem">
      <calculatedColumnFormula>((ic25_[[#This Row],[Massa amostra úmida (g)]]-ic25_[[#This Row],[Massa amostra seco (g)]])/ic25_[[#This Row],[Massa amostra úmida (g)]])</calculatedColumnFormula>
    </tableColumn>
    <tableColumn id="25" xr3:uid="{EACBC658-516A-46A8-8546-20A90C00D601}" name="ME.Bás (kg/m³)" dataDxfId="50">
      <calculatedColumnFormula>(((ic25_[[#This Row],[Massa amostra seco (g)]]/1000)/(ic25_[[#This Row],[VOL sat (cm³)]]/1000000)))</calculatedColumnFormula>
    </tableColumn>
    <tableColumn id="21" xr3:uid="{7C94F836-3800-48EE-A373-59C50ACAF4E3}" name="Qtde de nós" dataDxfId="49"/>
    <tableColumn id="23" xr3:uid="{3AA0F3FF-B9EE-4163-99EC-6D1AAA14434F}" name="Grupo Nodosidade" dataDxfId="48"/>
    <tableColumn id="24" xr3:uid="{85972AD1-273A-4352-91F0-20BAD3F20FAB}" name="Característica de Nodosidade"/>
    <tableColumn id="36" xr3:uid="{57E704AA-7A59-4E20-A772-33E13AAF8EF3}" name="fm [corrigida] (kgf/cm²)" dataDxfId="47">
      <calculatedColumnFormula>(3*mec_rasc[[#This Row],[Max Force (kgf)]]*169.1)/(2*((mec_rasc[[#This Row],[Base do CP (mm)]])/10)*((mec_rasc[[#This Row],[Altura Média do CP (mm)]])/10)^2)</calculatedColumnFormula>
    </tableColumn>
    <tableColumn id="26" xr3:uid="{C6011874-E925-479F-986B-F09F48AE29DD}" name="Diferença MOE Din x Est" dataDxfId="46">
      <calculatedColumnFormula>_xlfn.STDEV.S(ic25_[MOE_din (Mpa)])/AVERAGE(ic25_[[#This Row],[MOE_din (Mpa)]])</calculatedColumnFormula>
    </tableColumn>
    <tableColumn id="42" xr3:uid="{ACBB2737-AE92-43C3-B4B7-203C4F2C2C98}" name="MOE_est (Mpa)" dataDxfId="45">
      <calculatedColumnFormula>(mec_rasc[[#This Row],[fm '[corrigida'] (kgf/cm²)]]/10.2)*AC2</calculatedColumnFormula>
    </tableColumn>
    <tableColumn id="37" xr3:uid="{FF285609-43A0-4ECC-97C3-4E12BAAB8626}" name="Fator de Proporcionalidade F.P (E/fm)" dataDxfId="44">
      <calculatedColumnFormula>ic25_[[#This Row],[MOE_din (Mpa)]]/(ic25_[[#This Row],[fm '[corrigida'] (kgf/cm²)]]/10.2)</calculatedColumnFormula>
    </tableColumn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03EA3FD-CD94-4A18-8B0C-73251E515379}" name="medias_e_graf" displayName="medias_e_graf" ref="A1:D13" totalsRowShown="0" headerRowCellStyle="Normal" dataCellStyle="Normal">
  <autoFilter ref="A1:D13" xr:uid="{E03EA3FD-CD94-4A18-8B0C-73251E515379}"/>
  <tableColumns count="4">
    <tableColumn id="1" xr3:uid="{07F2D84A-5DF1-494E-AB8C-34EDA91A0098}" name="Tipo de Média" dataCellStyle="Normal"/>
    <tableColumn id="2" xr3:uid="{DD56E384-F4AA-4374-A34E-96D73AA3B799}" name="Valor" dataCellStyle="Normal"/>
    <tableColumn id="5" xr3:uid="{F441C4C3-A989-477E-9332-79CBD3F8CD27}" name="Coef. Variação" dataDxfId="43">
      <calculatedColumnFormula>_xlfn.STDEV.S(ic25_[Grupo Nodosidade],"A",ic25_[ME.Aparente m/V (kg/m³)])</calculatedColumnFormula>
    </tableColumn>
    <tableColumn id="3" xr3:uid="{9B871E7E-CE9A-42EE-9869-6E1E287D7339}" name="Diferença Entre A e B" dataDxfId="42" dataCellStyle="Porcentagem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A18FBCE-50AC-4478-83E8-A7E43A33A48F}" name="mec_corrig" displayName="mec_corrig" ref="A1:G16" totalsRowShown="0" headerRowDxfId="41">
  <autoFilter ref="A1:G16" xr:uid="{4A18FBCE-50AC-4478-83E8-A7E43A33A48F}"/>
  <tableColumns count="7">
    <tableColumn id="1" xr3:uid="{3846947C-E766-4446-B245-9082858A93C8}" name="CP" dataDxfId="40"/>
    <tableColumn id="2" xr3:uid="{688B2F03-3840-4EAE-A74B-4E397A261571}" name="Base do CP (mm)" dataDxfId="39"/>
    <tableColumn id="3" xr3:uid="{184896FE-7B14-4A85-ACCB-E25C9BB66D68}" name="Altura Média do CP (mm)" dataDxfId="38"/>
    <tableColumn id="4" xr3:uid="{310043AC-56CA-406D-8FCE-9E88ADAC4367}" name="Vão do CP (mm)" dataDxfId="37"/>
    <tableColumn id="5" xr3:uid="{0EB64C9B-2BA0-40D6-A9E4-1A255F90DE14}" name="fm (kgf/cm²)" dataDxfId="36"/>
    <tableColumn id="6" xr3:uid="{591D1635-C29F-4185-B7A8-090E2C3C93BF}" name="MOE (Mpa) (Dinâmico)" dataDxfId="35"/>
    <tableColumn id="7" xr3:uid="{A7252382-1B9F-49E8-A467-A20A769570F1}" name="MOE (Mpa) (Estático)" dataDxfId="34">
      <calculatedColumnFormula>mec_corrig[[#This Row],[MOE (Mpa) (Dinâmico)]]/0.9</calculatedColumnFormula>
    </tableColumn>
  </tableColumns>
  <tableStyleInfo name="TableStyleMedium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0D2EC8-2114-460A-AEE6-8C28210EA01B}" name="mec_rasc" displayName="mec_rasc" ref="A1:M21" totalsRowShown="0" headerRowDxfId="33" dataDxfId="31" headerRowBorderDxfId="32" tableBorderDxfId="30" totalsRowBorderDxfId="29">
  <autoFilter ref="A1:M21" xr:uid="{C40D2EC8-2114-460A-AEE6-8C28210EA01B}"/>
  <tableColumns count="13">
    <tableColumn id="1" xr3:uid="{08085814-0D35-4503-8FF9-31CD86A91073}" name="CP" dataDxfId="28"/>
    <tableColumn id="2" xr3:uid="{76DF99DC-6E8A-4DBF-ADB1-846937A2DD63}" name="Base do CP (mm)" dataDxfId="27"/>
    <tableColumn id="3" xr3:uid="{E3E21B74-4ED4-4525-B9C6-997BC2501D89}" name="Altura Média do CP (mm)" dataDxfId="26"/>
    <tableColumn id="4" xr3:uid="{978CFC8F-FBB1-4481-9ECA-785957F4E4DC}" name="Max Force (kgf)" dataDxfId="25"/>
    <tableColumn id="5" xr3:uid="{C9869392-F5FF-4055-8444-2254C2A35530}" name="fm [errada] (kgf/cm²)" dataDxfId="24"/>
    <tableColumn id="6" xr3:uid="{53651664-7B4A-4996-934D-E6FE99EA2C1C}" name="10% FMax (kgf)" dataDxfId="23"/>
    <tableColumn id="7" xr3:uid="{2871E4AD-3B3D-4DFC-B849-B0BEB108FED9}" name="40% FMax (kgf)" dataDxfId="22"/>
    <tableColumn id="8" xr3:uid="{35234738-E39B-458C-9062-C319ECD950A8}" name="Em [errada] (MPa)" dataDxfId="21"/>
    <tableColumn id="12" xr3:uid="{70AC8BD9-7544-42B1-86FF-C2C5F97D9107}" name="Coluna1" dataDxfId="0">
      <calculatedColumnFormula>(mec_rasc[[#This Row],[Em '[errada'] (MPa)]])*10.2</calculatedColumnFormula>
    </tableColumn>
    <tableColumn id="9" xr3:uid="{CDD29E19-A8BC-40FA-AAE3-F3022E9CC84E}" name="fm [corrigida] (kgf/cm²)" dataDxfId="20">
      <calculatedColumnFormula>(3*mec_rasc[[#This Row],[Max Force (kgf)]]*169.1)/(2*mec_rasc[[#This Row],[Base do CP (mm)]]*(mec_rasc[[#This Row],[Altura Média do CP (mm)]]^2))</calculatedColumnFormula>
    </tableColumn>
    <tableColumn id="10" xr3:uid="{5470157C-0DD0-4506-9851-30C10D0CD82F}" name="Em [corrigida (FP=300)] (MPa)" dataDxfId="19">
      <calculatedColumnFormula>((mec_rasc[[#This Row],[fm '[corrigida'] (kgf/cm²)]])/10.2)*300</calculatedColumnFormula>
    </tableColumn>
    <tableColumn id="14" xr3:uid="{73C949CE-632F-41D7-802B-8173E3364B39}" name="Em [corrigida] com FP Real da peça" dataDxfId="18">
      <calculatedColumnFormula>mec_rasc[[#This Row],[fm '[corrigida'] (kgf/cm²)]]/10.2*M2</calculatedColumnFormula>
    </tableColumn>
    <tableColumn id="15" xr3:uid="{658DD545-4309-4DF1-88EA-FF46CD749035}" name="FP" dataDxfId="17">
      <calculatedColumnFormula>ic25_[[#This Row],[MOE_din (Mpa)]]/(ic25_[[#This Row],[fm '[corrigida'] (kgf/cm²)]]/10.2)</calculatedColumnFormula>
    </tableColumn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29B3DF1-0BBE-4335-BCB4-5A357AA3AB50}" name="rasc_24e25" displayName="rasc_24e25" ref="A1:Q16" totalsRowShown="0">
  <autoFilter ref="A1:Q16" xr:uid="{00C61C9C-ADC6-423A-A52D-1C44EF9AEFBE}"/>
  <tableColumns count="17">
    <tableColumn id="1" xr3:uid="{49969740-9E13-4439-9749-F4D1CAD94CA7}" name="CP N/V" dataDxfId="16"/>
    <tableColumn id="17" xr3:uid="{BF90DECA-BDA7-4B14-A08D-2ECDB331CA08}" name="CP NEW" dataDxfId="15"/>
    <tableColumn id="16" xr3:uid="{A39D9561-6365-42B6-8E4C-B3F75F10F236}" name="Coluna1" dataDxfId="14">
      <calculatedColumnFormula>B2 &amp;" / "&amp; D2</calculatedColumnFormula>
    </tableColumn>
    <tableColumn id="2" xr3:uid="{C4D04FEE-E145-4736-A42A-CEC2693DDBB3}" name="CP OLD" dataDxfId="13"/>
    <tableColumn id="3" xr3:uid="{F05E5EF6-9366-443C-8107-3D3BAFE5CD69}" name="COMPRIMENTO (cm)" dataDxfId="12">
      <calculatedColumnFormula>(pva24_[[#This Row],[COMPRIMENTO (cm)]] - ic25_[[#This Row],[COMPRIMENTO (cm)]])</calculatedColumnFormula>
    </tableColumn>
    <tableColumn id="4" xr3:uid="{85846654-04AF-469F-AEF7-84CB58CC9176}" name="LARGURA A" dataDxfId="11"/>
    <tableColumn id="5" xr3:uid="{707556C8-D3B6-464B-8868-4F4D75EC8296}" name="SW" dataDxfId="10" dataCellStyle="Porcentagem">
      <calculatedColumnFormula>(pva24_[[#This Row],[SW]] - ic25_[[#This Row],[SW]]) / (ic25_[[#This Row],[SW]])</calculatedColumnFormula>
    </tableColumn>
    <tableColumn id="6" xr3:uid="{14C746D2-7E87-44CD-AD84-F7A5DFC9882C}" name="LARGURA B" dataDxfId="9"/>
    <tableColumn id="7" xr3:uid="{3BC170D7-ED65-49C2-9D8F-2F202E7ECAE9}" name="ESPESSURA A" dataDxfId="8"/>
    <tableColumn id="8" xr3:uid="{AA3B0055-876E-44CF-ABD4-E25AB1E656F4}" name="ESPESSURA B" dataDxfId="7"/>
    <tableColumn id="9" xr3:uid="{D7F640F2-ADCB-438B-ADBA-D081B0132BBA}" name="PESO (g)" dataDxfId="6" dataCellStyle="Porcentagem">
      <calculatedColumnFormula>(pva24_[[#This Row],[PESO (g)]] - ic25_[[#This Row],[Massa (g)]]) / (ic25_[[#This Row],[Massa (g)]])</calculatedColumnFormula>
    </tableColumn>
    <tableColumn id="10" xr3:uid="{E50B9957-14C5-4039-8998-80C445661EED}" name="LARGURA MÉD (mm)" dataDxfId="5" dataCellStyle="Porcentagem">
      <calculatedColumnFormula>(pva24_[[#This Row],[LARGURA MÉD (mm)]] - ic25_[[#This Row],[LARGURA MÉD (mm)]]) / (ic25_[[#This Row],[LARGURA MÉD (mm)]])</calculatedColumnFormula>
    </tableColumn>
    <tableColumn id="11" xr3:uid="{D4098AA4-D815-4138-BFCD-5051219705CE}" name="ESPESSURA MÉD (mm)" dataDxfId="4" dataCellStyle="Porcentagem">
      <calculatedColumnFormula>(pva24_[[#This Row],[ESPESSURA MÉD (mm)]] - ic25_[[#This Row],[ESPESSURA MÉD (mm)]]) / (ic25_[[#This Row],[ESPESSURA MÉD (mm)]])</calculatedColumnFormula>
    </tableColumn>
    <tableColumn id="12" xr3:uid="{4E66E63D-CB7D-4082-AD32-413406CA1E27}" name="VOL (cm³)" dataDxfId="3"/>
    <tableColumn id="13" xr3:uid="{2661DD49-02E3-4E4F-9510-41200B778A60}" name="Densidade Aparente m/V (kg/m³)" dataDxfId="2" dataCellStyle="Porcentagem">
      <calculatedColumnFormula>(pva24_[[#This Row],[Densidade Aparente m/V (kg/m³)]] - ic25_[[#This Row],[ME.Aparente m/V (kg/m³)]]) / (ic25_[[#This Row],[ME.Aparente m/V (kg/m³)]])</calculatedColumnFormula>
    </tableColumn>
    <tableColumn id="14" xr3:uid="{5D4C902A-9FCB-4254-81DD-EDB5456B276E}" name="SW Velocidade (m/s)" dataDxfId="1" dataCellStyle="Porcentagem">
      <calculatedColumnFormula>(pva24_[[#This Row],[SW Velocidade (m/s)]] - ic25_[[#This Row],[SW Vel. (m/s)]]) / (ic25_[[#This Row],[SW Vel. (m/s)]])</calculatedColumnFormula>
    </tableColumn>
    <tableColumn id="15" xr3:uid="{095B1FFC-1B18-44B1-8E12-B7FF3B18DA81}" name="E (módulo de elasticidade) MPa" dataCellStyle="Porcentagem">
      <calculatedColumnFormula>(pva24_[[#This Row],[E (módulo de elasticidade) MPa]] - ic25_[[#This Row],[MOE_din (Mpa)]]) / (ic25_[[#This Row],[MOE_din (Mpa)]])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FE027-7ACD-41E6-ABC7-57DA15CB44E7}">
  <dimension ref="A1:Q16"/>
  <sheetViews>
    <sheetView zoomScale="85" zoomScaleNormal="85" workbookViewId="0">
      <pane xSplit="4" topLeftCell="E1" activePane="topRight" state="frozen"/>
      <selection pane="topRight" activeCell="Q11" sqref="Q11"/>
    </sheetView>
  </sheetViews>
  <sheetFormatPr defaultRowHeight="14.4" x14ac:dyDescent="0.3"/>
  <cols>
    <col min="1" max="1" width="9.88671875" style="4" bestFit="1" customWidth="1"/>
    <col min="2" max="3" width="9.88671875" style="4" hidden="1" customWidth="1"/>
    <col min="4" max="4" width="9.33203125" style="4" customWidth="1"/>
    <col min="5" max="5" width="13.33203125" customWidth="1"/>
    <col min="6" max="6" width="12.5546875" customWidth="1"/>
    <col min="7" max="7" width="7.33203125" customWidth="1"/>
    <col min="8" max="8" width="12.5546875" customWidth="1"/>
    <col min="9" max="9" width="14.5546875" customWidth="1"/>
    <col min="10" max="10" width="15.5546875" bestFit="1" customWidth="1"/>
    <col min="11" max="11" width="10.33203125" bestFit="1" customWidth="1"/>
    <col min="12" max="12" width="20.33203125" bestFit="1" customWidth="1"/>
    <col min="13" max="13" width="22.33203125" bestFit="1" customWidth="1"/>
    <col min="14" max="14" width="15.109375" bestFit="1" customWidth="1"/>
    <col min="15" max="15" width="30.6640625" bestFit="1" customWidth="1"/>
    <col min="16" max="16" width="12.88671875" customWidth="1"/>
    <col min="17" max="17" width="29.6640625" bestFit="1" customWidth="1"/>
  </cols>
  <sheetData>
    <row r="1" spans="1:17" x14ac:dyDescent="0.3">
      <c r="A1" s="4" t="s">
        <v>61</v>
      </c>
      <c r="B1" s="4" t="s">
        <v>5</v>
      </c>
      <c r="C1" s="4" t="s">
        <v>7</v>
      </c>
      <c r="D1" s="4" t="s">
        <v>6</v>
      </c>
      <c r="E1" t="s">
        <v>41</v>
      </c>
      <c r="F1" t="s">
        <v>0</v>
      </c>
      <c r="G1" t="s">
        <v>2</v>
      </c>
      <c r="H1" t="s">
        <v>1</v>
      </c>
      <c r="I1" t="s">
        <v>3</v>
      </c>
      <c r="J1" t="s">
        <v>4</v>
      </c>
      <c r="K1" t="s">
        <v>38</v>
      </c>
      <c r="L1" t="s">
        <v>39</v>
      </c>
      <c r="M1" t="s">
        <v>40</v>
      </c>
      <c r="N1" t="s">
        <v>42</v>
      </c>
      <c r="O1" t="s">
        <v>43</v>
      </c>
      <c r="P1" t="s">
        <v>45</v>
      </c>
      <c r="Q1" t="s">
        <v>44</v>
      </c>
    </row>
    <row r="2" spans="1:17" x14ac:dyDescent="0.3">
      <c r="A2" s="4" t="s">
        <v>46</v>
      </c>
      <c r="B2" s="4" t="s">
        <v>8</v>
      </c>
      <c r="C2" s="4" t="str">
        <f>B2 &amp;" / "&amp; D2</f>
        <v>15K / 55F</v>
      </c>
      <c r="D2" s="4" t="s">
        <v>23</v>
      </c>
      <c r="E2" s="2">
        <v>263.8</v>
      </c>
      <c r="F2" s="3">
        <v>138.55000000000001</v>
      </c>
      <c r="G2" s="1">
        <v>531</v>
      </c>
      <c r="H2" s="3">
        <v>138.75</v>
      </c>
      <c r="I2" s="3">
        <v>34.79</v>
      </c>
      <c r="J2" s="3">
        <v>34.46</v>
      </c>
      <c r="K2" s="1">
        <v>5580</v>
      </c>
      <c r="L2" s="3">
        <f>AVERAGE(pva24_[[#This Row],[LARGURA A]],pva24_[[#This Row],[LARGURA B]])</f>
        <v>138.65</v>
      </c>
      <c r="M2" s="3">
        <f>AVERAGE(pva24_[[#This Row],[ESPESSURA A]],pva24_[[#This Row],[ESPESSURA B]])</f>
        <v>34.625</v>
      </c>
      <c r="N2" s="3">
        <f>pva24_[[#This Row],[COMPRIMENTO (cm)]]*(pva24_[[#This Row],[LARGURA MÉD (mm)]]*100)*(pva24_[[#This Row],[ESPESSURA MÉD (mm)]]*100)</f>
        <v>12664394987.5</v>
      </c>
      <c r="O2" s="3">
        <f>(pva24_[[#This Row],[PESO (g)]]*1000)/(pva24_[[#This Row],[VOL (cm³)]])*1000000</f>
        <v>440.60533531270676</v>
      </c>
      <c r="P2" s="3">
        <f>(pva24_[[#This Row],[COMPRIMENTO (cm)]]/100)/(pva24_[[#This Row],[SW]]/1000000)</f>
        <v>4967.9849340866285</v>
      </c>
      <c r="Q2" s="3">
        <f>(((pva24_[[#This Row],[SW Velocidade (m/s)]]^2)*pva24_[[#This Row],[Densidade Aparente m/V (kg/m³)]])/1000000)</f>
        <v>10874.52489910264</v>
      </c>
    </row>
    <row r="3" spans="1:17" x14ac:dyDescent="0.3">
      <c r="A3" s="4" t="s">
        <v>47</v>
      </c>
      <c r="B3" s="4" t="s">
        <v>9</v>
      </c>
      <c r="C3" s="4" t="str">
        <f t="shared" ref="C3:C16" si="0">B3 &amp;" / "&amp; D3</f>
        <v>16K / 49F</v>
      </c>
      <c r="D3" s="4" t="s">
        <v>24</v>
      </c>
      <c r="E3" s="2">
        <v>263.8</v>
      </c>
      <c r="F3" s="3">
        <v>138.55000000000001</v>
      </c>
      <c r="G3" s="1">
        <v>606</v>
      </c>
      <c r="H3" s="3">
        <v>138.38999999999999</v>
      </c>
      <c r="I3" s="3">
        <v>35.130000000000003</v>
      </c>
      <c r="J3" s="3">
        <v>34.86</v>
      </c>
      <c r="K3" s="1">
        <v>5025</v>
      </c>
      <c r="L3" s="3">
        <f>AVERAGE(pva24_[[#This Row],[LARGURA A]],pva24_[[#This Row],[LARGURA B]])</f>
        <v>138.47</v>
      </c>
      <c r="M3" s="3">
        <f>AVERAGE(pva24_[[#This Row],[ESPESSURA A]],pva24_[[#This Row],[ESPESSURA B]])</f>
        <v>34.995000000000005</v>
      </c>
      <c r="N3" s="3">
        <f>pva24_[[#This Row],[COMPRIMENTO (cm)]]*(pva24_[[#This Row],[LARGURA MÉD (mm)]]*100)*(pva24_[[#This Row],[ESPESSURA MÉD (mm)]]*100)</f>
        <v>12783108680.700003</v>
      </c>
      <c r="O3" s="3">
        <f>(pva24_[[#This Row],[PESO (g)]]*1000)/(pva24_[[#This Row],[VOL (cm³)]])*1000000</f>
        <v>393.09686911969766</v>
      </c>
      <c r="P3" s="3">
        <f>(pva24_[[#This Row],[COMPRIMENTO (cm)]]/100)/(pva24_[[#This Row],[SW]]/1000000)</f>
        <v>4353.1353135313529</v>
      </c>
      <c r="Q3" s="3">
        <f>(((pva24_[[#This Row],[SW Velocidade (m/s)]]^2)*pva24_[[#This Row],[Densidade Aparente m/V (kg/m³)]])/1000000)</f>
        <v>7449.1019629508455</v>
      </c>
    </row>
    <row r="4" spans="1:17" x14ac:dyDescent="0.3">
      <c r="A4" s="4" t="s">
        <v>48</v>
      </c>
      <c r="B4" s="4" t="s">
        <v>10</v>
      </c>
      <c r="C4" s="4" t="str">
        <f t="shared" si="0"/>
        <v>17K / 65F</v>
      </c>
      <c r="D4" s="4" t="s">
        <v>25</v>
      </c>
      <c r="E4" s="2">
        <v>262.89999999999998</v>
      </c>
      <c r="F4" s="3">
        <v>139.16999999999999</v>
      </c>
      <c r="G4" s="1">
        <v>595</v>
      </c>
      <c r="H4" s="3">
        <v>138.34</v>
      </c>
      <c r="I4" s="3">
        <v>34.51</v>
      </c>
      <c r="J4" s="3">
        <v>34.49</v>
      </c>
      <c r="K4" s="1">
        <v>5700</v>
      </c>
      <c r="L4" s="3">
        <f>AVERAGE(pva24_[[#This Row],[LARGURA A]],pva24_[[#This Row],[LARGURA B]])</f>
        <v>138.755</v>
      </c>
      <c r="M4" s="3">
        <f>AVERAGE(pva24_[[#This Row],[ESPESSURA A]],pva24_[[#This Row],[ESPESSURA B]])</f>
        <v>34.5</v>
      </c>
      <c r="N4" s="3">
        <f>pva24_[[#This Row],[COMPRIMENTO (cm)]]*(pva24_[[#This Row],[LARGURA MÉD (mm)]]*100)*(pva24_[[#This Row],[ESPESSURA MÉD (mm)]]*100)</f>
        <v>12585147877.499998</v>
      </c>
      <c r="O4" s="3">
        <f>(pva24_[[#This Row],[PESO (g)]]*1000)/(pva24_[[#This Row],[VOL (cm³)]])*1000000</f>
        <v>452.91482114330847</v>
      </c>
      <c r="P4" s="3">
        <f>(pva24_[[#This Row],[COMPRIMENTO (cm)]]/100)/(pva24_[[#This Row],[SW]]/1000000)</f>
        <v>4418.4873949579824</v>
      </c>
      <c r="Q4" s="3">
        <f>(((pva24_[[#This Row],[SW Velocidade (m/s)]]^2)*pva24_[[#This Row],[Densidade Aparente m/V (kg/m³)]])/1000000)</f>
        <v>8842.270029861611</v>
      </c>
    </row>
    <row r="5" spans="1:17" x14ac:dyDescent="0.3">
      <c r="A5" s="4" t="s">
        <v>49</v>
      </c>
      <c r="B5" s="4" t="s">
        <v>11</v>
      </c>
      <c r="C5" s="4" t="str">
        <f t="shared" si="0"/>
        <v>18K / 15F</v>
      </c>
      <c r="D5" s="4" t="s">
        <v>26</v>
      </c>
      <c r="E5" s="2">
        <v>264.10000000000002</v>
      </c>
      <c r="F5" s="3">
        <v>139.47999999999999</v>
      </c>
      <c r="G5" s="1">
        <v>544</v>
      </c>
      <c r="H5" s="3">
        <v>139.09</v>
      </c>
      <c r="I5" s="3">
        <v>34.6</v>
      </c>
      <c r="J5" s="3">
        <v>34.83</v>
      </c>
      <c r="K5" s="1">
        <v>5995</v>
      </c>
      <c r="L5" s="3">
        <f>AVERAGE(pva24_[[#This Row],[LARGURA A]],pva24_[[#This Row],[LARGURA B]])</f>
        <v>139.285</v>
      </c>
      <c r="M5" s="3">
        <f>AVERAGE(pva24_[[#This Row],[ESPESSURA A]],pva24_[[#This Row],[ESPESSURA B]])</f>
        <v>34.715000000000003</v>
      </c>
      <c r="N5" s="3">
        <f>pva24_[[#This Row],[COMPRIMENTO (cm)]]*(pva24_[[#This Row],[LARGURA MÉD (mm)]]*100)*(pva24_[[#This Row],[ESPESSURA MÉD (mm)]]*100)</f>
        <v>12769971244.775002</v>
      </c>
      <c r="O5" s="3">
        <f>(pva24_[[#This Row],[PESO (g)]]*1000)/(pva24_[[#This Row],[VOL (cm³)]])*1000000</f>
        <v>469.46072822622301</v>
      </c>
      <c r="P5" s="3">
        <f>(pva24_[[#This Row],[COMPRIMENTO (cm)]]/100)/(pva24_[[#This Row],[SW]]/1000000)</f>
        <v>4854.7794117647063</v>
      </c>
      <c r="Q5" s="3">
        <f>(((pva24_[[#This Row],[SW Velocidade (m/s)]]^2)*pva24_[[#This Row],[Densidade Aparente m/V (kg/m³)]])/1000000)</f>
        <v>11064.665040925225</v>
      </c>
    </row>
    <row r="6" spans="1:17" x14ac:dyDescent="0.3">
      <c r="A6" s="4" t="s">
        <v>50</v>
      </c>
      <c r="B6" s="4" t="s">
        <v>12</v>
      </c>
      <c r="C6" s="4" t="str">
        <f t="shared" si="0"/>
        <v>19K / 38F</v>
      </c>
      <c r="D6" s="4" t="s">
        <v>27</v>
      </c>
      <c r="E6" s="2">
        <v>264.5</v>
      </c>
      <c r="F6" s="3">
        <v>138.86000000000001</v>
      </c>
      <c r="G6" s="1">
        <v>562</v>
      </c>
      <c r="H6" s="3">
        <v>138.54</v>
      </c>
      <c r="I6" s="3">
        <v>34.82</v>
      </c>
      <c r="J6" s="3">
        <v>33.26</v>
      </c>
      <c r="K6" s="1">
        <v>4980</v>
      </c>
      <c r="L6" s="3">
        <f>AVERAGE(pva24_[[#This Row],[LARGURA A]],pva24_[[#This Row],[LARGURA B]])</f>
        <v>138.69999999999999</v>
      </c>
      <c r="M6" s="3">
        <f>AVERAGE(pva24_[[#This Row],[ESPESSURA A]],pva24_[[#This Row],[ESPESSURA B]])</f>
        <v>34.04</v>
      </c>
      <c r="N6" s="3">
        <f>pva24_[[#This Row],[COMPRIMENTO (cm)]]*(pva24_[[#This Row],[LARGURA MÉD (mm)]]*100)*(pva24_[[#This Row],[ESPESSURA MÉD (mm)]]*100)</f>
        <v>12487965459.999998</v>
      </c>
      <c r="O6" s="3">
        <f>(pva24_[[#This Row],[PESO (g)]]*1000)/(pva24_[[#This Row],[VOL (cm³)]])*1000000</f>
        <v>398.78393449688485</v>
      </c>
      <c r="P6" s="3">
        <f>(pva24_[[#This Row],[COMPRIMENTO (cm)]]/100)/(pva24_[[#This Row],[SW]]/1000000)</f>
        <v>4706.4056939501779</v>
      </c>
      <c r="Q6" s="3">
        <f>(((pva24_[[#This Row],[SW Velocidade (m/s)]]^2)*pva24_[[#This Row],[Densidade Aparente m/V (kg/m³)]])/1000000)</f>
        <v>8833.1656619678361</v>
      </c>
    </row>
    <row r="7" spans="1:17" x14ac:dyDescent="0.3">
      <c r="A7" s="4" t="s">
        <v>51</v>
      </c>
      <c r="B7" s="4" t="s">
        <v>13</v>
      </c>
      <c r="C7" s="4" t="str">
        <f t="shared" si="0"/>
        <v>20K / 204G</v>
      </c>
      <c r="D7" s="4" t="s">
        <v>28</v>
      </c>
      <c r="E7" s="2">
        <v>263.10000000000002</v>
      </c>
      <c r="F7" s="3">
        <v>140.55000000000001</v>
      </c>
      <c r="G7" s="1">
        <v>557</v>
      </c>
      <c r="H7" s="3">
        <v>139.86000000000001</v>
      </c>
      <c r="I7" s="3">
        <v>34.53</v>
      </c>
      <c r="J7" s="3">
        <v>35.090000000000003</v>
      </c>
      <c r="K7" s="1">
        <v>5510</v>
      </c>
      <c r="L7" s="3">
        <f>AVERAGE(pva24_[[#This Row],[LARGURA A]],pva24_[[#This Row],[LARGURA B]])</f>
        <v>140.20500000000001</v>
      </c>
      <c r="M7" s="3">
        <f>AVERAGE(pva24_[[#This Row],[ESPESSURA A]],pva24_[[#This Row],[ESPESSURA B]])</f>
        <v>34.81</v>
      </c>
      <c r="N7" s="3">
        <f>pva24_[[#This Row],[COMPRIMENTO (cm)]]*(pva24_[[#This Row],[LARGURA MÉD (mm)]]*100)*(pva24_[[#This Row],[ESPESSURA MÉD (mm)]]*100)</f>
        <v>12840690347.550003</v>
      </c>
      <c r="O7" s="3">
        <f>(pva24_[[#This Row],[PESO (g)]]*1000)/(pva24_[[#This Row],[VOL (cm³)]])*1000000</f>
        <v>429.10465487950228</v>
      </c>
      <c r="P7" s="3">
        <f>(pva24_[[#This Row],[COMPRIMENTO (cm)]]/100)/(pva24_[[#This Row],[SW]]/1000000)</f>
        <v>4723.5188509874333</v>
      </c>
      <c r="Q7" s="3">
        <f>(((pva24_[[#This Row],[SW Velocidade (m/s)]]^2)*pva24_[[#This Row],[Densidade Aparente m/V (kg/m³)]])/1000000)</f>
        <v>9574.0244349711083</v>
      </c>
    </row>
    <row r="8" spans="1:17" x14ac:dyDescent="0.3">
      <c r="A8" s="4" t="s">
        <v>52</v>
      </c>
      <c r="B8" s="4" t="s">
        <v>14</v>
      </c>
      <c r="C8" s="4" t="str">
        <f t="shared" si="0"/>
        <v>21K / 57F</v>
      </c>
      <c r="D8" s="4" t="s">
        <v>29</v>
      </c>
      <c r="E8" s="2">
        <v>261.60000000000002</v>
      </c>
      <c r="F8" s="3">
        <v>139.69</v>
      </c>
      <c r="G8" s="1">
        <v>661</v>
      </c>
      <c r="H8" s="3">
        <v>139.91999999999999</v>
      </c>
      <c r="I8" s="3">
        <v>34.83</v>
      </c>
      <c r="J8" s="3">
        <v>33.78</v>
      </c>
      <c r="K8" s="1">
        <v>5570</v>
      </c>
      <c r="L8" s="3">
        <f>AVERAGE(pva24_[[#This Row],[LARGURA A]],pva24_[[#This Row],[LARGURA B]])</f>
        <v>139.80500000000001</v>
      </c>
      <c r="M8" s="3">
        <f>AVERAGE(pva24_[[#This Row],[ESPESSURA A]],pva24_[[#This Row],[ESPESSURA B]])</f>
        <v>34.305</v>
      </c>
      <c r="N8" s="3">
        <f>pva24_[[#This Row],[COMPRIMENTO (cm)]]*(pva24_[[#This Row],[LARGURA MÉD (mm)]]*100)*(pva24_[[#This Row],[ESPESSURA MÉD (mm)]]*100)</f>
        <v>12546363533.400002</v>
      </c>
      <c r="O8" s="3">
        <f>(pva24_[[#This Row],[PESO (g)]]*1000)/(pva24_[[#This Row],[VOL (cm³)]])*1000000</f>
        <v>443.95334035810123</v>
      </c>
      <c r="P8" s="3">
        <f>(pva24_[[#This Row],[COMPRIMENTO (cm)]]/100)/(pva24_[[#This Row],[SW]]/1000000)</f>
        <v>3957.639939485628</v>
      </c>
      <c r="Q8" s="3">
        <f>(((pva24_[[#This Row],[SW Velocidade (m/s)]]^2)*pva24_[[#This Row],[Densidade Aparente m/V (kg/m³)]])/1000000)</f>
        <v>6953.6029414784143</v>
      </c>
    </row>
    <row r="9" spans="1:17" x14ac:dyDescent="0.3">
      <c r="A9" s="4" t="s">
        <v>53</v>
      </c>
      <c r="B9" s="4" t="s">
        <v>15</v>
      </c>
      <c r="C9" s="4" t="str">
        <f t="shared" si="0"/>
        <v>22K / 50F</v>
      </c>
      <c r="D9" s="4" t="s">
        <v>30</v>
      </c>
      <c r="E9" s="2">
        <v>265</v>
      </c>
      <c r="F9" s="3">
        <v>139.44</v>
      </c>
      <c r="G9" s="1">
        <v>545</v>
      </c>
      <c r="H9" s="3">
        <v>139.78</v>
      </c>
      <c r="I9" s="3">
        <v>34.71</v>
      </c>
      <c r="J9" s="3">
        <v>34.76</v>
      </c>
      <c r="K9" s="1">
        <v>5330</v>
      </c>
      <c r="L9" s="3">
        <f>AVERAGE(pva24_[[#This Row],[LARGURA A]],pva24_[[#This Row],[LARGURA B]])</f>
        <v>139.61000000000001</v>
      </c>
      <c r="M9" s="3">
        <f>AVERAGE(pva24_[[#This Row],[ESPESSURA A]],pva24_[[#This Row],[ESPESSURA B]])</f>
        <v>34.734999999999999</v>
      </c>
      <c r="N9" s="3">
        <f>pva24_[[#This Row],[COMPRIMENTO (cm)]]*(pva24_[[#This Row],[LARGURA MÉD (mm)]]*100)*(pva24_[[#This Row],[ESPESSURA MÉD (mm)]]*100)</f>
        <v>12850786377.500002</v>
      </c>
      <c r="O9" s="3">
        <f>(pva24_[[#This Row],[PESO (g)]]*1000)/(pva24_[[#This Row],[VOL (cm³)]])*1000000</f>
        <v>414.76061024032839</v>
      </c>
      <c r="P9" s="3">
        <f>(pva24_[[#This Row],[COMPRIMENTO (cm)]]/100)/(pva24_[[#This Row],[SW]]/1000000)</f>
        <v>4862.3853211009173</v>
      </c>
      <c r="Q9" s="3">
        <f>(((pva24_[[#This Row],[SW Velocidade (m/s)]]^2)*pva24_[[#This Row],[Densidade Aparente m/V (kg/m³)]])/1000000)</f>
        <v>9806.0984274478778</v>
      </c>
    </row>
    <row r="10" spans="1:17" x14ac:dyDescent="0.3">
      <c r="A10" s="4" t="s">
        <v>54</v>
      </c>
      <c r="B10" s="4" t="s">
        <v>16</v>
      </c>
      <c r="C10" s="4" t="str">
        <f t="shared" si="0"/>
        <v>23K / 30F</v>
      </c>
      <c r="D10" s="4" t="s">
        <v>31</v>
      </c>
      <c r="E10" s="2">
        <v>262.60000000000002</v>
      </c>
      <c r="F10" s="3">
        <v>139.61000000000001</v>
      </c>
      <c r="G10" s="1">
        <v>524</v>
      </c>
      <c r="H10" s="3">
        <v>140.35</v>
      </c>
      <c r="I10" s="3">
        <v>34.799999999999997</v>
      </c>
      <c r="J10" s="3">
        <v>34.82</v>
      </c>
      <c r="K10" s="1">
        <v>5265</v>
      </c>
      <c r="L10" s="3">
        <f>AVERAGE(pva24_[[#This Row],[LARGURA A]],pva24_[[#This Row],[LARGURA B]])</f>
        <v>139.98000000000002</v>
      </c>
      <c r="M10" s="3">
        <f>AVERAGE(pva24_[[#This Row],[ESPESSURA A]],pva24_[[#This Row],[ESPESSURA B]])</f>
        <v>34.81</v>
      </c>
      <c r="N10" s="3">
        <f>pva24_[[#This Row],[COMPRIMENTO (cm)]]*(pva24_[[#This Row],[LARGURA MÉD (mm)]]*100)*(pva24_[[#This Row],[ESPESSURA MÉD (mm)]]*100)</f>
        <v>12795720178.800003</v>
      </c>
      <c r="O10" s="3">
        <f>(pva24_[[#This Row],[PESO (g)]]*1000)/(pva24_[[#This Row],[VOL (cm³)]])*1000000</f>
        <v>411.46570309681135</v>
      </c>
      <c r="P10" s="3">
        <f>(pva24_[[#This Row],[COMPRIMENTO (cm)]]/100)/(pva24_[[#This Row],[SW]]/1000000)</f>
        <v>5011.4503816793895</v>
      </c>
      <c r="Q10" s="3">
        <f>(((pva24_[[#This Row],[SW Velocidade (m/s)]]^2)*pva24_[[#This Row],[Densidade Aparente m/V (kg/m³)]])/1000000)</f>
        <v>10333.81091868345</v>
      </c>
    </row>
    <row r="11" spans="1:17" x14ac:dyDescent="0.3">
      <c r="A11" s="4" t="s">
        <v>55</v>
      </c>
      <c r="B11" s="4" t="s">
        <v>17</v>
      </c>
      <c r="C11" s="4" t="str">
        <f t="shared" si="0"/>
        <v>24K / 76F</v>
      </c>
      <c r="D11" s="4" t="s">
        <v>32</v>
      </c>
      <c r="E11" s="2">
        <v>264.2</v>
      </c>
      <c r="F11" s="3">
        <v>139.34</v>
      </c>
      <c r="G11" s="1">
        <v>512</v>
      </c>
      <c r="H11" s="3">
        <v>139.24</v>
      </c>
      <c r="I11" s="3">
        <v>34.630000000000003</v>
      </c>
      <c r="J11" s="3">
        <v>33.35</v>
      </c>
      <c r="K11" s="1">
        <v>6150</v>
      </c>
      <c r="L11" s="3">
        <f>AVERAGE(pva24_[[#This Row],[LARGURA A]],pva24_[[#This Row],[LARGURA B]])</f>
        <v>139.29000000000002</v>
      </c>
      <c r="M11" s="3">
        <f>AVERAGE(pva24_[[#This Row],[ESPESSURA A]],pva24_[[#This Row],[ESPESSURA B]])</f>
        <v>33.99</v>
      </c>
      <c r="N11" s="3">
        <f>pva24_[[#This Row],[COMPRIMENTO (cm)]]*(pva24_[[#This Row],[LARGURA MÉD (mm)]]*100)*(pva24_[[#This Row],[ESPESSURA MÉD (mm)]]*100)</f>
        <v>12508462078.200001</v>
      </c>
      <c r="O11" s="3">
        <f>(pva24_[[#This Row],[PESO (g)]]*1000)/(pva24_[[#This Row],[VOL (cm³)]])*1000000</f>
        <v>491.66715792490135</v>
      </c>
      <c r="P11" s="3">
        <f>(pva24_[[#This Row],[COMPRIMENTO (cm)]]/100)/(pva24_[[#This Row],[SW]]/1000000)</f>
        <v>5160.15625</v>
      </c>
      <c r="Q11" s="3">
        <f>(((pva24_[[#This Row],[SW Velocidade (m/s)]]^2)*pva24_[[#This Row],[Densidade Aparente m/V (kg/m³)]])/1000000)</f>
        <v>13091.725905341</v>
      </c>
    </row>
    <row r="12" spans="1:17" x14ac:dyDescent="0.3">
      <c r="A12" s="4" t="s">
        <v>56</v>
      </c>
      <c r="B12" s="4" t="s">
        <v>18</v>
      </c>
      <c r="C12" s="4" t="str">
        <f t="shared" si="0"/>
        <v>25K / 206G</v>
      </c>
      <c r="D12" s="4" t="s">
        <v>33</v>
      </c>
      <c r="E12" s="2">
        <v>264.2</v>
      </c>
      <c r="F12" s="3">
        <v>138.57</v>
      </c>
      <c r="G12" s="1">
        <v>559</v>
      </c>
      <c r="H12" s="3">
        <v>139.02000000000001</v>
      </c>
      <c r="I12" s="3">
        <v>34.36</v>
      </c>
      <c r="J12" s="3">
        <v>34.72</v>
      </c>
      <c r="K12" s="1">
        <v>5250</v>
      </c>
      <c r="L12" s="3">
        <f>AVERAGE(pva24_[[#This Row],[LARGURA A]],pva24_[[#This Row],[LARGURA B]])</f>
        <v>138.79500000000002</v>
      </c>
      <c r="M12" s="3">
        <f>AVERAGE(pva24_[[#This Row],[ESPESSURA A]],pva24_[[#This Row],[ESPESSURA B]])</f>
        <v>34.54</v>
      </c>
      <c r="N12" s="3">
        <f>pva24_[[#This Row],[COMPRIMENTO (cm)]]*(pva24_[[#This Row],[LARGURA MÉD (mm)]]*100)*(pva24_[[#This Row],[ESPESSURA MÉD (mm)]]*100)</f>
        <v>12665693310.6</v>
      </c>
      <c r="O12" s="3">
        <f>(pva24_[[#This Row],[PESO (g)]]*1000)/(pva24_[[#This Row],[VOL (cm³)]])*1000000</f>
        <v>414.50553643251737</v>
      </c>
      <c r="P12" s="3">
        <f>(pva24_[[#This Row],[COMPRIMENTO (cm)]]/100)/(pva24_[[#This Row],[SW]]/1000000)</f>
        <v>4726.2969588550977</v>
      </c>
      <c r="Q12" s="3">
        <f>(((pva24_[[#This Row],[SW Velocidade (m/s)]]^2)*pva24_[[#This Row],[Densidade Aparente m/V (kg/m³)]])/1000000)</f>
        <v>9259.1761521722783</v>
      </c>
    </row>
    <row r="13" spans="1:17" x14ac:dyDescent="0.3">
      <c r="A13" s="4" t="s">
        <v>57</v>
      </c>
      <c r="B13" s="4" t="s">
        <v>19</v>
      </c>
      <c r="C13" s="4" t="str">
        <f t="shared" si="0"/>
        <v>26K / 81F</v>
      </c>
      <c r="D13" s="4" t="s">
        <v>34</v>
      </c>
      <c r="E13" s="2">
        <v>262.89999999999998</v>
      </c>
      <c r="F13" s="3">
        <v>138.69</v>
      </c>
      <c r="G13" s="1">
        <v>621</v>
      </c>
      <c r="H13" s="3">
        <v>138.65</v>
      </c>
      <c r="I13" s="3">
        <v>34.24</v>
      </c>
      <c r="J13" s="3">
        <v>24.54</v>
      </c>
      <c r="K13" s="1">
        <v>5230</v>
      </c>
      <c r="L13" s="3">
        <f>AVERAGE(pva24_[[#This Row],[LARGURA A]],pva24_[[#This Row],[LARGURA B]])</f>
        <v>138.67000000000002</v>
      </c>
      <c r="M13" s="3">
        <f>AVERAGE(pva24_[[#This Row],[ESPESSURA A]],pva24_[[#This Row],[ESPESSURA B]])</f>
        <v>29.39</v>
      </c>
      <c r="N13" s="3">
        <f>pva24_[[#This Row],[COMPRIMENTO (cm)]]*(pva24_[[#This Row],[LARGURA MÉD (mm)]]*100)*(pva24_[[#This Row],[ESPESSURA MÉD (mm)]]*100)</f>
        <v>10714519207.700001</v>
      </c>
      <c r="O13" s="3">
        <f>(pva24_[[#This Row],[PESO (g)]]*1000)/(pva24_[[#This Row],[VOL (cm³)]])*1000000</f>
        <v>488.12269581274865</v>
      </c>
      <c r="P13" s="3">
        <f>(pva24_[[#This Row],[COMPRIMENTO (cm)]]/100)/(pva24_[[#This Row],[SW]]/1000000)</f>
        <v>4233.4943639291459</v>
      </c>
      <c r="Q13" s="3">
        <f>(((pva24_[[#This Row],[SW Velocidade (m/s)]]^2)*pva24_[[#This Row],[Densidade Aparente m/V (kg/m³)]])/1000000)</f>
        <v>8748.3665829357378</v>
      </c>
    </row>
    <row r="14" spans="1:17" x14ac:dyDescent="0.3">
      <c r="A14" s="4" t="s">
        <v>58</v>
      </c>
      <c r="B14" s="4" t="s">
        <v>20</v>
      </c>
      <c r="C14" s="4" t="str">
        <f t="shared" si="0"/>
        <v>27K / 59F</v>
      </c>
      <c r="D14" s="4" t="s">
        <v>35</v>
      </c>
      <c r="E14" s="2">
        <v>266.8</v>
      </c>
      <c r="F14" s="3">
        <v>138.31</v>
      </c>
      <c r="G14" s="1">
        <v>579</v>
      </c>
      <c r="H14" s="3">
        <v>138.77000000000001</v>
      </c>
      <c r="I14" s="3">
        <v>34.11</v>
      </c>
      <c r="J14" s="3">
        <v>33.479999999999997</v>
      </c>
      <c r="K14" s="1">
        <v>6340</v>
      </c>
      <c r="L14" s="3">
        <f>AVERAGE(pva24_[[#This Row],[LARGURA A]],pva24_[[#This Row],[LARGURA B]])</f>
        <v>138.54000000000002</v>
      </c>
      <c r="M14" s="3">
        <f>AVERAGE(pva24_[[#This Row],[ESPESSURA A]],pva24_[[#This Row],[ESPESSURA B]])</f>
        <v>33.795000000000002</v>
      </c>
      <c r="N14" s="3">
        <f>pva24_[[#This Row],[COMPRIMENTO (cm)]]*(pva24_[[#This Row],[LARGURA MÉD (mm)]]*100)*(pva24_[[#This Row],[ESPESSURA MÉD (mm)]]*100)</f>
        <v>12491467412.400002</v>
      </c>
      <c r="O14" s="3">
        <f>(pva24_[[#This Row],[PESO (g)]]*1000)/(pva24_[[#This Row],[VOL (cm³)]])*1000000</f>
        <v>507.54645476690933</v>
      </c>
      <c r="P14" s="3">
        <f>(pva24_[[#This Row],[COMPRIMENTO (cm)]]/100)/(pva24_[[#This Row],[SW]]/1000000)</f>
        <v>4607.9447322970645</v>
      </c>
      <c r="Q14" s="3">
        <f>(((pva24_[[#This Row],[SW Velocidade (m/s)]]^2)*pva24_[[#This Row],[Densidade Aparente m/V (kg/m³)]])/1000000)</f>
        <v>10776.812369121706</v>
      </c>
    </row>
    <row r="15" spans="1:17" x14ac:dyDescent="0.3">
      <c r="A15" s="4" t="s">
        <v>59</v>
      </c>
      <c r="B15" s="4" t="s">
        <v>21</v>
      </c>
      <c r="C15" s="4" t="str">
        <f t="shared" si="0"/>
        <v>28K / 16F</v>
      </c>
      <c r="D15" s="4" t="s">
        <v>36</v>
      </c>
      <c r="E15" s="2">
        <v>261.7</v>
      </c>
      <c r="F15" s="3">
        <v>139.25</v>
      </c>
      <c r="G15" s="1">
        <v>617</v>
      </c>
      <c r="H15" s="3">
        <v>139.52000000000001</v>
      </c>
      <c r="I15" s="3">
        <v>34.85</v>
      </c>
      <c r="J15" s="3">
        <v>34.36</v>
      </c>
      <c r="K15" s="1">
        <v>5320</v>
      </c>
      <c r="L15" s="3">
        <f>AVERAGE(pva24_[[#This Row],[LARGURA A]],pva24_[[#This Row],[LARGURA B]])</f>
        <v>139.38499999999999</v>
      </c>
      <c r="M15" s="3">
        <f>AVERAGE(pva24_[[#This Row],[ESPESSURA A]],pva24_[[#This Row],[ESPESSURA B]])</f>
        <v>34.605000000000004</v>
      </c>
      <c r="N15" s="3">
        <f>pva24_[[#This Row],[COMPRIMENTO (cm)]]*(pva24_[[#This Row],[LARGURA MÉD (mm)]]*100)*(pva24_[[#This Row],[ESPESSURA MÉD (mm)]]*100)</f>
        <v>12622884709.725</v>
      </c>
      <c r="O15" s="3">
        <f>(pva24_[[#This Row],[PESO (g)]]*1000)/(pva24_[[#This Row],[VOL (cm³)]])*1000000</f>
        <v>421.4567527422106</v>
      </c>
      <c r="P15" s="3">
        <f>(pva24_[[#This Row],[COMPRIMENTO (cm)]]/100)/(pva24_[[#This Row],[SW]]/1000000)</f>
        <v>4241.4910858995136</v>
      </c>
      <c r="Q15" s="3">
        <f>(((pva24_[[#This Row],[SW Velocidade (m/s)]]^2)*pva24_[[#This Row],[Densidade Aparente m/V (kg/m³)]])/1000000)</f>
        <v>7582.1109264551833</v>
      </c>
    </row>
    <row r="16" spans="1:17" x14ac:dyDescent="0.3">
      <c r="A16" s="4" t="s">
        <v>60</v>
      </c>
      <c r="B16" s="4" t="s">
        <v>22</v>
      </c>
      <c r="C16" s="4" t="str">
        <f t="shared" si="0"/>
        <v>29K / 24F</v>
      </c>
      <c r="D16" s="4" t="s">
        <v>37</v>
      </c>
      <c r="E16" s="2">
        <v>263.10000000000002</v>
      </c>
      <c r="F16" s="3">
        <v>139.55000000000001</v>
      </c>
      <c r="G16" s="1">
        <v>569</v>
      </c>
      <c r="H16" s="3">
        <v>139.18</v>
      </c>
      <c r="I16" s="3">
        <v>34.81</v>
      </c>
      <c r="J16" s="3">
        <v>34.590000000000003</v>
      </c>
      <c r="K16" s="1">
        <v>5285</v>
      </c>
      <c r="L16" s="3">
        <f>AVERAGE(pva24_[[#This Row],[LARGURA A]],pva24_[[#This Row],[LARGURA B]])</f>
        <v>139.36500000000001</v>
      </c>
      <c r="M16" s="3">
        <f>AVERAGE(pva24_[[#This Row],[ESPESSURA A]],pva24_[[#This Row],[ESPESSURA B]])</f>
        <v>34.700000000000003</v>
      </c>
      <c r="N16" s="3">
        <f>pva24_[[#This Row],[COMPRIMENTO (cm)]]*(pva24_[[#This Row],[LARGURA MÉD (mm)]]*100)*(pva24_[[#This Row],[ESPESSURA MÉD (mm)]]*100)</f>
        <v>12723425230.500004</v>
      </c>
      <c r="O16" s="3">
        <f>(pva24_[[#This Row],[PESO (g)]]*1000)/(pva24_[[#This Row],[VOL (cm³)]])*1000000</f>
        <v>415.37556941279013</v>
      </c>
      <c r="P16" s="3">
        <f>(pva24_[[#This Row],[COMPRIMENTO (cm)]]/100)/(pva24_[[#This Row],[SW]]/1000000)</f>
        <v>4623.9015817223208</v>
      </c>
      <c r="Q16" s="3">
        <f>(((pva24_[[#This Row],[SW Velocidade (m/s)]]^2)*pva24_[[#This Row],[Densidade Aparente m/V (kg/m³)]])/1000000)</f>
        <v>8880.9231715432379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48C0B-6443-4DED-AF82-E06AF4AFA49C}">
  <dimension ref="A1:AC19"/>
  <sheetViews>
    <sheetView zoomScale="115" zoomScaleNormal="115" workbookViewId="0">
      <pane xSplit="4" topLeftCell="Q1" activePane="topRight" state="frozen"/>
      <selection pane="topRight" activeCell="R2" sqref="R2"/>
    </sheetView>
  </sheetViews>
  <sheetFormatPr defaultRowHeight="14.4" x14ac:dyDescent="0.3"/>
  <cols>
    <col min="1" max="1" width="10.88671875" style="4" bestFit="1" customWidth="1"/>
    <col min="2" max="2" width="11.6640625" style="4" hidden="1" customWidth="1"/>
    <col min="3" max="3" width="12.44140625" style="4" hidden="1" customWidth="1"/>
    <col min="4" max="4" width="10.109375" style="4" hidden="1" customWidth="1"/>
    <col min="5" max="5" width="21.6640625" bestFit="1" customWidth="1"/>
    <col min="6" max="6" width="13.33203125" bestFit="1" customWidth="1"/>
    <col min="7" max="7" width="6.33203125" bestFit="1" customWidth="1"/>
    <col min="8" max="8" width="13.33203125" bestFit="1" customWidth="1"/>
    <col min="9" max="10" width="15.5546875" bestFit="1" customWidth="1"/>
    <col min="11" max="11" width="11.6640625" bestFit="1" customWidth="1"/>
    <col min="12" max="12" width="21.44140625" bestFit="1" customWidth="1"/>
    <col min="13" max="13" width="23.6640625" bestFit="1" customWidth="1"/>
    <col min="14" max="14" width="14.109375" hidden="1" customWidth="1"/>
    <col min="15" max="15" width="15.109375" bestFit="1" customWidth="1"/>
    <col min="16" max="16" width="26.109375" bestFit="1" customWidth="1"/>
    <col min="17" max="17" width="21.6640625" bestFit="1" customWidth="1"/>
    <col min="18" max="18" width="16.88671875" bestFit="1" customWidth="1"/>
    <col min="19" max="19" width="25.33203125" hidden="1" customWidth="1"/>
    <col min="20" max="20" width="23.6640625" style="7" hidden="1" customWidth="1"/>
    <col min="21" max="21" width="9" hidden="1" customWidth="1"/>
    <col min="22" max="22" width="16.88671875" bestFit="1" customWidth="1"/>
    <col min="23" max="23" width="14.109375" bestFit="1" customWidth="1"/>
    <col min="24" max="24" width="18.88671875" style="14" bestFit="1" customWidth="1"/>
    <col min="25" max="25" width="30.44140625" bestFit="1" customWidth="1"/>
    <col min="26" max="26" width="24.5546875" bestFit="1" customWidth="1"/>
    <col min="27" max="27" width="25.44140625" bestFit="1" customWidth="1"/>
    <col min="28" max="28" width="34.33203125" bestFit="1" customWidth="1"/>
    <col min="29" max="29" width="37.5546875" bestFit="1" customWidth="1"/>
    <col min="30" max="32" width="37.33203125" bestFit="1" customWidth="1"/>
    <col min="33" max="33" width="37.33203125" customWidth="1"/>
    <col min="34" max="34" width="21.109375" bestFit="1" customWidth="1"/>
    <col min="35" max="35" width="25" bestFit="1" customWidth="1"/>
    <col min="37" max="38" width="34.33203125" bestFit="1" customWidth="1"/>
  </cols>
  <sheetData>
    <row r="1" spans="1:29" ht="15" thickBot="1" x14ac:dyDescent="0.35">
      <c r="A1" s="4" t="s">
        <v>61</v>
      </c>
      <c r="B1" s="4" t="s">
        <v>86</v>
      </c>
      <c r="C1" s="4" t="s">
        <v>87</v>
      </c>
      <c r="D1" s="4" t="s">
        <v>6</v>
      </c>
      <c r="E1" t="s">
        <v>41</v>
      </c>
      <c r="F1" t="s">
        <v>0</v>
      </c>
      <c r="G1" t="s">
        <v>2</v>
      </c>
      <c r="H1" t="s">
        <v>1</v>
      </c>
      <c r="I1" t="s">
        <v>3</v>
      </c>
      <c r="J1" t="s">
        <v>4</v>
      </c>
      <c r="K1" t="s">
        <v>64</v>
      </c>
      <c r="L1" t="s">
        <v>39</v>
      </c>
      <c r="M1" t="s">
        <v>40</v>
      </c>
      <c r="N1" t="s">
        <v>42</v>
      </c>
      <c r="O1" t="s">
        <v>63</v>
      </c>
      <c r="P1" t="s">
        <v>99</v>
      </c>
      <c r="Q1" t="s">
        <v>106</v>
      </c>
      <c r="R1" t="s">
        <v>97</v>
      </c>
      <c r="S1" t="s">
        <v>65</v>
      </c>
      <c r="T1" t="s">
        <v>66</v>
      </c>
      <c r="U1" s="7" t="s">
        <v>62</v>
      </c>
      <c r="V1" t="s">
        <v>98</v>
      </c>
      <c r="W1" t="s">
        <v>107</v>
      </c>
      <c r="X1" s="13" t="s">
        <v>82</v>
      </c>
      <c r="Y1" t="s">
        <v>83</v>
      </c>
      <c r="Z1" s="21" t="s">
        <v>89</v>
      </c>
      <c r="AA1" s="4" t="s">
        <v>118</v>
      </c>
      <c r="AB1" s="4" t="s">
        <v>96</v>
      </c>
      <c r="AC1" s="4" t="s">
        <v>108</v>
      </c>
    </row>
    <row r="2" spans="1:29" x14ac:dyDescent="0.3">
      <c r="A2" s="4" t="s">
        <v>51</v>
      </c>
      <c r="B2" s="4" t="s">
        <v>13</v>
      </c>
      <c r="C2" s="4" t="str">
        <f t="shared" ref="C2:C16" si="0">B2 &amp;" / "&amp; D2</f>
        <v>20K / 204G</v>
      </c>
      <c r="D2" s="4" t="s">
        <v>28</v>
      </c>
      <c r="E2" s="2">
        <v>263.7</v>
      </c>
      <c r="F2" s="3">
        <v>89.05</v>
      </c>
      <c r="G2" s="1">
        <v>561</v>
      </c>
      <c r="H2" s="3">
        <v>89.16</v>
      </c>
      <c r="I2" s="3">
        <v>34.9</v>
      </c>
      <c r="J2" s="3">
        <v>34.82</v>
      </c>
      <c r="K2" s="1">
        <v>3445</v>
      </c>
      <c r="L2" s="3">
        <f>AVERAGE(ic25_[[#This Row],[LARGURA A]],ic25_[[#This Row],[LARGURA B]])</f>
        <v>89.10499999999999</v>
      </c>
      <c r="M2" s="3">
        <f>AVERAGE(ic25_[[#This Row],[ESPESSURA A]],ic25_[[#This Row],[ESPESSURA B]])</f>
        <v>34.86</v>
      </c>
      <c r="N2" s="3">
        <f>ic25_[[#This Row],[COMPRIMENTO (cm)]]*(ic25_[[#This Row],[LARGURA MÉD (mm)]]*100)*(ic25_[[#This Row],[ESPESSURA MÉD (mm)]]*100)</f>
        <v>8191050191.0999985</v>
      </c>
      <c r="O2" s="3">
        <v>419.1</v>
      </c>
      <c r="P2" s="3">
        <f>(ic25_[[#This Row],[Massa (g)]]*1000)/(ic25_[[#This Row],[VOL (cm³)]])*1000000</f>
        <v>420.58099018159743</v>
      </c>
      <c r="Q2" s="3">
        <f>(ic25_[[#This Row],[COMPRIMENTO (cm)]]/100)/(ic25_[[#This Row],[SW]]/1000000)</f>
        <v>4700.5347593582892</v>
      </c>
      <c r="R2" s="3">
        <f>(((ic25_[[#This Row],[SW Vel. (m/s)]]^2)*ic25_[[#This Row],[ME.Aparente m/V (kg/m³)]])/1000000)</f>
        <v>9292.7483438159434</v>
      </c>
      <c r="S2" s="3">
        <v>169.98</v>
      </c>
      <c r="T2" s="3">
        <v>148.21</v>
      </c>
      <c r="U2" s="7">
        <f>((ic25_[[#This Row],[Massa amostra úmida (g)]]-ic25_[[#This Row],[Massa amostra seco (g)]])/ic25_[[#This Row],[Massa amostra úmida (g)]])</f>
        <v>0.12807389104600531</v>
      </c>
      <c r="V2" s="2">
        <f>(((ic25_[[#This Row],[Massa amostra seco (g)]]/1000)/(ic25_[[#This Row],[VOL sat (cm³)]]/1000000)))</f>
        <v>353.6387497017418</v>
      </c>
      <c r="W2" s="1">
        <v>5</v>
      </c>
      <c r="X2" s="14" t="s">
        <v>80</v>
      </c>
      <c r="Y2" t="s">
        <v>85</v>
      </c>
      <c r="Z2" s="18">
        <f>(3*mec_rasc[[#This Row],[Max Force (kgf)]]*169.1)/(2*((mec_rasc[[#This Row],[Base do CP (mm)]])/10)*((mec_rasc[[#This Row],[Altura Média do CP (mm)]])/10)^2)</f>
        <v>226.95673019725979</v>
      </c>
      <c r="AA2" s="29">
        <f>_xlfn.STDEV.S(ic25_[MOE_din (Mpa)])/AVERAGE(ic25_[[#This Row],[MOE_din (Mpa)]])</f>
        <v>0.18106641575543417</v>
      </c>
      <c r="AB2" s="25">
        <f>(mec_rasc[[#This Row],[fm '[corrigida'] (kgf/cm²)]]/10.2)*AC2</f>
        <v>9292.7483438159434</v>
      </c>
      <c r="AC2" s="24">
        <f>ic25_[[#This Row],[MOE_din (Mpa)]]/(ic25_[[#This Row],[fm '[corrigida'] (kgf/cm²)]]/10.2)</f>
        <v>417.63922587595965</v>
      </c>
    </row>
    <row r="3" spans="1:29" x14ac:dyDescent="0.3">
      <c r="A3" s="4" t="s">
        <v>60</v>
      </c>
      <c r="B3" s="4" t="s">
        <v>22</v>
      </c>
      <c r="C3" s="4" t="str">
        <f t="shared" si="0"/>
        <v>29K / 24F</v>
      </c>
      <c r="D3" s="4" t="s">
        <v>37</v>
      </c>
      <c r="E3" s="2">
        <v>263.2</v>
      </c>
      <c r="F3" s="3">
        <v>89.02</v>
      </c>
      <c r="G3" s="1">
        <v>572</v>
      </c>
      <c r="H3" s="3">
        <v>88.8</v>
      </c>
      <c r="I3" s="3">
        <v>34.93</v>
      </c>
      <c r="J3" s="3">
        <v>35.07</v>
      </c>
      <c r="K3" s="1">
        <v>3365</v>
      </c>
      <c r="L3" s="3">
        <f>AVERAGE(ic25_[[#This Row],[LARGURA A]],ic25_[[#This Row],[LARGURA B]])</f>
        <v>88.91</v>
      </c>
      <c r="M3" s="3">
        <f>AVERAGE(ic25_[[#This Row],[ESPESSURA A]],ic25_[[#This Row],[ESPESSURA B]])</f>
        <v>35</v>
      </c>
      <c r="N3" s="3">
        <f>ic25_[[#This Row],[COMPRIMENTO (cm)]]*(ic25_[[#This Row],[LARGURA MÉD (mm)]]*100)*(ic25_[[#This Row],[ESPESSURA MÉD (mm)]]*100)</f>
        <v>8190389199.999999</v>
      </c>
      <c r="O3" s="3">
        <v>420</v>
      </c>
      <c r="P3" s="3">
        <f>(ic25_[[#This Row],[Massa (g)]]*1000)/(ic25_[[#This Row],[VOL (cm³)]])*1000000</f>
        <v>410.84738683724584</v>
      </c>
      <c r="Q3" s="3">
        <f>(ic25_[[#This Row],[COMPRIMENTO (cm)]]/100)/(ic25_[[#This Row],[SW]]/1000000)</f>
        <v>4601.3986013986005</v>
      </c>
      <c r="R3" s="3">
        <f>(((ic25_[[#This Row],[SW Vel. (m/s)]]^2)*ic25_[[#This Row],[ME.Aparente m/V (kg/m³)]])/1000000)</f>
        <v>8698.8179370434354</v>
      </c>
      <c r="S3" s="3">
        <v>156.38999999999999</v>
      </c>
      <c r="T3" s="3">
        <v>136.84</v>
      </c>
      <c r="U3" s="7">
        <f>((ic25_[[#This Row],[Massa amostra úmida (g)]]-ic25_[[#This Row],[Massa amostra seco (g)]])/ic25_[[#This Row],[Massa amostra úmida (g)]])</f>
        <v>0.12500799283841668</v>
      </c>
      <c r="V3" s="2">
        <f>(((ic25_[[#This Row],[Massa amostra seco (g)]]/1000)/(ic25_[[#This Row],[VOL sat (cm³)]]/1000000)))</f>
        <v>325.80952380952385</v>
      </c>
      <c r="W3" s="1">
        <v>4</v>
      </c>
      <c r="X3" s="14" t="s">
        <v>80</v>
      </c>
      <c r="Y3" t="s">
        <v>84</v>
      </c>
      <c r="Z3" s="18">
        <f>(3*mec_rasc[[#This Row],[Max Force (kgf)]]*169.1)/(2*((mec_rasc[[#This Row],[Base do CP (mm)]])/10)*((mec_rasc[[#This Row],[Altura Média do CP (mm)]])/10)^2)</f>
        <v>545.15717369994286</v>
      </c>
      <c r="AA3" s="29">
        <f>_xlfn.STDEV.S(ic25_[MOE_din (Mpa)])/AVERAGE(ic25_[[#This Row],[MOE_din (Mpa)]])</f>
        <v>0.19342911270354574</v>
      </c>
      <c r="AB3" s="10">
        <f>(mec_rasc[[#This Row],[fm '[corrigida'] (kgf/cm²)]]/10.2)*AC3</f>
        <v>8698.8179370434354</v>
      </c>
      <c r="AC3" s="24">
        <f>ic25_[[#This Row],[MOE_din (Mpa)]]/(ic25_[[#This Row],[fm '[corrigida'] (kgf/cm²)]]/10.2)</f>
        <v>162.7566273330915</v>
      </c>
    </row>
    <row r="4" spans="1:29" x14ac:dyDescent="0.3">
      <c r="A4" s="4" t="s">
        <v>54</v>
      </c>
      <c r="B4" s="4" t="s">
        <v>16</v>
      </c>
      <c r="C4" s="4" t="str">
        <f t="shared" si="0"/>
        <v>23K / 30F</v>
      </c>
      <c r="D4" s="4" t="s">
        <v>31</v>
      </c>
      <c r="E4" s="2">
        <v>262.89999999999998</v>
      </c>
      <c r="F4" s="3">
        <v>88.54</v>
      </c>
      <c r="G4" s="1">
        <v>553</v>
      </c>
      <c r="H4" s="3">
        <v>88.88</v>
      </c>
      <c r="I4" s="3">
        <v>34.83</v>
      </c>
      <c r="J4" s="3">
        <v>35.049999999999997</v>
      </c>
      <c r="K4" s="1">
        <v>3305</v>
      </c>
      <c r="L4" s="3">
        <f>AVERAGE(ic25_[[#This Row],[LARGURA A]],ic25_[[#This Row],[LARGURA B]])</f>
        <v>88.710000000000008</v>
      </c>
      <c r="M4" s="3">
        <f>AVERAGE(ic25_[[#This Row],[ESPESSURA A]],ic25_[[#This Row],[ESPESSURA B]])</f>
        <v>34.94</v>
      </c>
      <c r="N4" s="3">
        <f>ic25_[[#This Row],[COMPRIMENTO (cm)]]*(ic25_[[#This Row],[LARGURA MÉD (mm)]]*100)*(ic25_[[#This Row],[ESPESSURA MÉD (mm)]]*100)</f>
        <v>8148657534.5999994</v>
      </c>
      <c r="O4" s="3">
        <v>432.2</v>
      </c>
      <c r="P4" s="3">
        <f>(ic25_[[#This Row],[Massa (g)]]*1000)/(ic25_[[#This Row],[VOL (cm³)]])*1000000</f>
        <v>405.58828076485548</v>
      </c>
      <c r="Q4" s="3">
        <f>(ic25_[[#This Row],[COMPRIMENTO (cm)]]/100)/(ic25_[[#This Row],[SW]]/1000000)</f>
        <v>4754.0687160940315</v>
      </c>
      <c r="R4" s="3">
        <f>(((ic25_[[#This Row],[SW Vel. (m/s)]]^2)*ic25_[[#This Row],[ME.Aparente m/V (kg/m³)]])/1000000)</f>
        <v>9166.7694229204681</v>
      </c>
      <c r="S4" s="3">
        <v>157.13</v>
      </c>
      <c r="T4" s="3">
        <v>138.53</v>
      </c>
      <c r="U4" s="7">
        <f>((ic25_[[#This Row],[Massa amostra úmida (g)]]-ic25_[[#This Row],[Massa amostra seco (g)]])/ic25_[[#This Row],[Massa amostra úmida (g)]])</f>
        <v>0.11837332145357345</v>
      </c>
      <c r="V4" s="2">
        <f>(((ic25_[[#This Row],[Massa amostra seco (g)]]/1000)/(ic25_[[#This Row],[VOL sat (cm³)]]/1000000)))</f>
        <v>320.52290606200836</v>
      </c>
      <c r="W4" s="1">
        <v>3</v>
      </c>
      <c r="X4" s="14" t="s">
        <v>80</v>
      </c>
      <c r="Y4" t="s">
        <v>85</v>
      </c>
      <c r="Z4" s="18">
        <f>(3*mec_rasc[[#This Row],[Max Force (kgf)]]*169.1)/(2*((mec_rasc[[#This Row],[Base do CP (mm)]])/10)*((mec_rasc[[#This Row],[Altura Média do CP (mm)]])/10)^2)</f>
        <v>245.55335120675622</v>
      </c>
      <c r="AA4" s="29">
        <f>_xlfn.STDEV.S(ic25_[MOE_din (Mpa)])/AVERAGE(ic25_[[#This Row],[MOE_din (Mpa)]])</f>
        <v>0.18355481167932922</v>
      </c>
      <c r="AB4" s="10">
        <f>(mec_rasc[[#This Row],[fm '[corrigida'] (kgf/cm²)]]/10.2)*AC4</f>
        <v>9166.7694229204681</v>
      </c>
      <c r="AC4" s="24">
        <f>ic25_[[#This Row],[MOE_din (Mpa)]]/(ic25_[[#This Row],[fm '[corrigida'] (kgf/cm²)]]/10.2)</f>
        <v>380.7769173350062</v>
      </c>
    </row>
    <row r="5" spans="1:29" x14ac:dyDescent="0.3">
      <c r="A5" s="4" t="s">
        <v>53</v>
      </c>
      <c r="B5" s="4" t="s">
        <v>15</v>
      </c>
      <c r="C5" s="4" t="str">
        <f t="shared" si="0"/>
        <v>22K / 50F</v>
      </c>
      <c r="D5" s="4" t="s">
        <v>30</v>
      </c>
      <c r="E5" s="2">
        <v>265.10000000000002</v>
      </c>
      <c r="F5" s="3">
        <v>88.98</v>
      </c>
      <c r="G5" s="1">
        <v>571</v>
      </c>
      <c r="H5" s="3">
        <v>88.91</v>
      </c>
      <c r="I5" s="3">
        <v>34.619999999999997</v>
      </c>
      <c r="J5" s="3">
        <v>34.68</v>
      </c>
      <c r="K5" s="1">
        <v>3295</v>
      </c>
      <c r="L5" s="3">
        <f>AVERAGE(ic25_[[#This Row],[LARGURA A]],ic25_[[#This Row],[LARGURA B]])</f>
        <v>88.944999999999993</v>
      </c>
      <c r="M5" s="3">
        <f>AVERAGE(ic25_[[#This Row],[ESPESSURA A]],ic25_[[#This Row],[ESPESSURA B]])</f>
        <v>34.65</v>
      </c>
      <c r="N5" s="3">
        <f>ic25_[[#This Row],[COMPRIMENTO (cm)]]*(ic25_[[#This Row],[LARGURA MÉD (mm)]]*100)*(ic25_[[#This Row],[ESPESSURA MÉD (mm)]]*100)</f>
        <v>8170234206.750001</v>
      </c>
      <c r="O5" s="3">
        <v>407.7</v>
      </c>
      <c r="P5" s="3">
        <f>(ic25_[[#This Row],[Massa (g)]]*1000)/(ic25_[[#This Row],[VOL (cm³)]])*1000000</f>
        <v>403.2932124856066</v>
      </c>
      <c r="Q5" s="3">
        <f>(ic25_[[#This Row],[COMPRIMENTO (cm)]]/100)/(ic25_[[#This Row],[SW]]/1000000)</f>
        <v>4642.7320490367783</v>
      </c>
      <c r="R5" s="3">
        <f>(((ic25_[[#This Row],[SW Vel. (m/s)]]^2)*ic25_[[#This Row],[ME.Aparente m/V (kg/m³)]])/1000000)</f>
        <v>8692.9694179552862</v>
      </c>
      <c r="S5" s="3">
        <v>149.61000000000001</v>
      </c>
      <c r="T5" s="3">
        <v>131.61000000000001</v>
      </c>
      <c r="U5" s="7">
        <f>((ic25_[[#This Row],[Massa amostra úmida (g)]]-ic25_[[#This Row],[Massa amostra seco (g)]])/ic25_[[#This Row],[Massa amostra úmida (g)]])</f>
        <v>0.12031281331461799</v>
      </c>
      <c r="V5" s="2">
        <f>(((ic25_[[#This Row],[Massa amostra seco (g)]]/1000)/(ic25_[[#This Row],[VOL sat (cm³)]]/1000000)))</f>
        <v>322.81089036055926</v>
      </c>
      <c r="W5" s="1">
        <v>4</v>
      </c>
      <c r="X5" s="14" t="s">
        <v>80</v>
      </c>
      <c r="Y5" t="s">
        <v>84</v>
      </c>
      <c r="Z5" s="18">
        <f>(3*mec_rasc[[#This Row],[Max Force (kgf)]]*169.1)/(2*((mec_rasc[[#This Row],[Base do CP (mm)]])/10)*((mec_rasc[[#This Row],[Altura Média do CP (mm)]])/10)^2)</f>
        <v>509.30611113448219</v>
      </c>
      <c r="AA5" s="29">
        <f>_xlfn.STDEV.S(ic25_[MOE_din (Mpa)])/AVERAGE(ic25_[[#This Row],[MOE_din (Mpa)]])</f>
        <v>0.1935592493465568</v>
      </c>
      <c r="AB5" s="10">
        <f>(mec_rasc[[#This Row],[fm '[corrigida'] (kgf/cm²)]]/10.2)*AC5</f>
        <v>8692.9694179552862</v>
      </c>
      <c r="AC5" s="24">
        <f>ic25_[[#This Row],[MOE_din (Mpa)]]/(ic25_[[#This Row],[fm '[corrigida'] (kgf/cm²)]]/10.2)</f>
        <v>174.096257878459</v>
      </c>
    </row>
    <row r="6" spans="1:29" x14ac:dyDescent="0.3">
      <c r="A6" s="4" t="s">
        <v>46</v>
      </c>
      <c r="B6" s="4" t="s">
        <v>8</v>
      </c>
      <c r="C6" s="4" t="str">
        <f t="shared" si="0"/>
        <v>15K / 55F</v>
      </c>
      <c r="D6" s="4" t="s">
        <v>23</v>
      </c>
      <c r="E6" s="2">
        <v>264.60000000000002</v>
      </c>
      <c r="F6" s="3">
        <v>89.28</v>
      </c>
      <c r="G6" s="1">
        <v>574</v>
      </c>
      <c r="H6" s="3">
        <v>89.15</v>
      </c>
      <c r="I6" s="3">
        <v>34.380000000000003</v>
      </c>
      <c r="J6" s="3">
        <v>33.700000000000003</v>
      </c>
      <c r="K6" s="1">
        <v>3425</v>
      </c>
      <c r="L6" s="3">
        <f>AVERAGE(ic25_[[#This Row],[LARGURA A]],ic25_[[#This Row],[LARGURA B]])</f>
        <v>89.215000000000003</v>
      </c>
      <c r="M6" s="3">
        <f>AVERAGE(ic25_[[#This Row],[ESPESSURA A]],ic25_[[#This Row],[ESPESSURA B]])</f>
        <v>34.040000000000006</v>
      </c>
      <c r="N6" s="3">
        <f>ic25_[[#This Row],[COMPRIMENTO (cm)]]*(ic25_[[#This Row],[LARGURA MÉD (mm)]]*100)*(ic25_[[#This Row],[ESPESSURA MÉD (mm)]]*100)</f>
        <v>8035580775.6000023</v>
      </c>
      <c r="O6" s="3">
        <v>415.9</v>
      </c>
      <c r="P6" s="3">
        <f>(ic25_[[#This Row],[Massa (g)]]*1000)/(ic25_[[#This Row],[VOL (cm³)]])*1000000</f>
        <v>426.22930384820398</v>
      </c>
      <c r="Q6" s="3">
        <f>(ic25_[[#This Row],[COMPRIMENTO (cm)]]/100)/(ic25_[[#This Row],[SW]]/1000000)</f>
        <v>4609.7560975609767</v>
      </c>
      <c r="R6" s="3">
        <f>(((ic25_[[#This Row],[SW Vel. (m/s)]]^2)*ic25_[[#This Row],[ME.Aparente m/V (kg/m³)]])/1000000)</f>
        <v>9057.3093175262948</v>
      </c>
      <c r="S6" s="3">
        <v>160.51</v>
      </c>
      <c r="T6" s="3">
        <v>140.66999999999999</v>
      </c>
      <c r="U6" s="7">
        <f>((ic25_[[#This Row],[Massa amostra úmida (g)]]-ic25_[[#This Row],[Massa amostra seco (g)]])/ic25_[[#This Row],[Massa amostra úmida (g)]])</f>
        <v>0.12360600585633297</v>
      </c>
      <c r="V6" s="2">
        <f>(((ic25_[[#This Row],[Massa amostra seco (g)]]/1000)/(ic25_[[#This Row],[VOL sat (cm³)]]/1000000)))</f>
        <v>338.23034383265207</v>
      </c>
      <c r="W6" s="1">
        <v>5</v>
      </c>
      <c r="X6" s="14" t="s">
        <v>80</v>
      </c>
      <c r="Y6" t="s">
        <v>85</v>
      </c>
      <c r="Z6" s="18">
        <f>(3*mec_rasc[[#This Row],[Max Force (kgf)]]*169.1)/(2*((mec_rasc[[#This Row],[Base do CP (mm)]])/10)*((mec_rasc[[#This Row],[Altura Média do CP (mm)]])/10)^2)</f>
        <v>299.43309489629388</v>
      </c>
      <c r="AA6" s="29">
        <f>_xlfn.STDEV.S(ic25_[MOE_din (Mpa)])/AVERAGE(ic25_[[#This Row],[MOE_din (Mpa)]])</f>
        <v>0.18577312269506854</v>
      </c>
      <c r="AB6" s="10">
        <f>(mec_rasc[[#This Row],[fm '[corrigida'] (kgf/cm²)]]/10.2)*AC6</f>
        <v>9057.3093175262948</v>
      </c>
      <c r="AC6" s="24">
        <f>ic25_[[#This Row],[MOE_din (Mpa)]]/(ic25_[[#This Row],[fm '[corrigida'] (kgf/cm²)]]/10.2)</f>
        <v>308.53154381871121</v>
      </c>
    </row>
    <row r="7" spans="1:29" x14ac:dyDescent="0.3">
      <c r="A7" s="4" t="s">
        <v>55</v>
      </c>
      <c r="B7" s="4" t="s">
        <v>17</v>
      </c>
      <c r="C7" s="4" t="str">
        <f t="shared" si="0"/>
        <v>24K / 76F</v>
      </c>
      <c r="D7" s="4" t="s">
        <v>32</v>
      </c>
      <c r="E7" s="2">
        <v>264.2</v>
      </c>
      <c r="F7" s="3">
        <v>89.11</v>
      </c>
      <c r="G7" s="1">
        <v>528</v>
      </c>
      <c r="H7" s="3">
        <v>89.24</v>
      </c>
      <c r="I7" s="3">
        <v>34.72</v>
      </c>
      <c r="J7" s="3">
        <v>35.130000000000003</v>
      </c>
      <c r="K7" s="1">
        <v>3845</v>
      </c>
      <c r="L7" s="3">
        <f>AVERAGE(ic25_[[#This Row],[LARGURA A]],ic25_[[#This Row],[LARGURA B]])</f>
        <v>89.174999999999997</v>
      </c>
      <c r="M7" s="3">
        <f>AVERAGE(ic25_[[#This Row],[ESPESSURA A]],ic25_[[#This Row],[ESPESSURA B]])</f>
        <v>34.924999999999997</v>
      </c>
      <c r="N7" s="3">
        <f>ic25_[[#This Row],[COMPRIMENTO (cm)]]*(ic25_[[#This Row],[LARGURA MÉD (mm)]]*100)*(ic25_[[#This Row],[ESPESSURA MÉD (mm)]]*100)</f>
        <v>8228342223.749999</v>
      </c>
      <c r="O7" s="3">
        <v>447.8</v>
      </c>
      <c r="P7" s="3">
        <f>(ic25_[[#This Row],[Massa (g)]]*1000)/(ic25_[[#This Row],[VOL (cm³)]])*1000000</f>
        <v>467.2873217282974</v>
      </c>
      <c r="Q7" s="3">
        <f>(ic25_[[#This Row],[COMPRIMENTO (cm)]]/100)/(ic25_[[#This Row],[SW]]/1000000)</f>
        <v>5003.7878787878781</v>
      </c>
      <c r="R7" s="3">
        <f>(((ic25_[[#This Row],[SW Vel. (m/s)]]^2)*ic25_[[#This Row],[ME.Aparente m/V (kg/m³)]])/1000000)</f>
        <v>11699.890025196131</v>
      </c>
      <c r="S7" s="3">
        <v>187.08</v>
      </c>
      <c r="T7" s="3">
        <v>164.53</v>
      </c>
      <c r="U7" s="7">
        <f>((ic25_[[#This Row],[Massa amostra úmida (g)]]-ic25_[[#This Row],[Massa amostra seco (g)]])/ic25_[[#This Row],[Massa amostra úmida (g)]])</f>
        <v>0.12053666880478944</v>
      </c>
      <c r="V7" s="2">
        <f>(((ic25_[[#This Row],[Massa amostra seco (g)]]/1000)/(ic25_[[#This Row],[VOL sat (cm³)]]/1000000)))</f>
        <v>367.41849039749894</v>
      </c>
      <c r="W7" s="1">
        <v>4</v>
      </c>
      <c r="X7" s="14" t="s">
        <v>80</v>
      </c>
      <c r="Y7" t="s">
        <v>84</v>
      </c>
      <c r="Z7" s="18">
        <f>(3*mec_rasc[[#This Row],[Max Force (kgf)]]*169.1)/(2*((mec_rasc[[#This Row],[Base do CP (mm)]])/10)*((mec_rasc[[#This Row],[Altura Média do CP (mm)]])/10)^2)</f>
        <v>715.87808536230591</v>
      </c>
      <c r="AA7" s="29">
        <f>_xlfn.STDEV.S(ic25_[MOE_din (Mpa)])/AVERAGE(ic25_[[#This Row],[MOE_din (Mpa)]])</f>
        <v>0.14381371376213373</v>
      </c>
      <c r="AB7" s="10">
        <f>(mec_rasc[[#This Row],[fm '[corrigida'] (kgf/cm²)]]/10.2)*AC7</f>
        <v>11699.890025196131</v>
      </c>
      <c r="AC7" s="24">
        <f>ic25_[[#This Row],[MOE_din (Mpa)]]/(ic25_[[#This Row],[fm '[corrigida'] (kgf/cm²)]]/10.2)</f>
        <v>166.70279576529168</v>
      </c>
    </row>
    <row r="8" spans="1:29" x14ac:dyDescent="0.3">
      <c r="A8" s="4" t="s">
        <v>49</v>
      </c>
      <c r="B8" s="4" t="s">
        <v>11</v>
      </c>
      <c r="C8" s="4" t="str">
        <f t="shared" si="0"/>
        <v>18K / 15F</v>
      </c>
      <c r="D8" s="4" t="s">
        <v>26</v>
      </c>
      <c r="E8" s="2">
        <v>264.10000000000002</v>
      </c>
      <c r="F8" s="3">
        <v>88.78</v>
      </c>
      <c r="G8" s="1">
        <v>586</v>
      </c>
      <c r="H8" s="3">
        <v>89.11</v>
      </c>
      <c r="I8" s="3">
        <v>34.909999999999997</v>
      </c>
      <c r="J8" s="3">
        <v>34.69</v>
      </c>
      <c r="K8" s="1">
        <v>3800</v>
      </c>
      <c r="L8" s="3">
        <f>AVERAGE(ic25_[[#This Row],[LARGURA A]],ic25_[[#This Row],[LARGURA B]])</f>
        <v>88.944999999999993</v>
      </c>
      <c r="M8" s="3">
        <f>AVERAGE(ic25_[[#This Row],[ESPESSURA A]],ic25_[[#This Row],[ESPESSURA B]])</f>
        <v>34.799999999999997</v>
      </c>
      <c r="N8" s="3">
        <f>ic25_[[#This Row],[COMPRIMENTO (cm)]]*(ic25_[[#This Row],[LARGURA MÉD (mm)]]*100)*(ic25_[[#This Row],[ESPESSURA MÉD (mm)]]*100)</f>
        <v>8174650326</v>
      </c>
      <c r="O8" s="3">
        <v>422.1</v>
      </c>
      <c r="P8" s="3">
        <f>(ic25_[[#This Row],[Massa (g)]]*1000)/(ic25_[[#This Row],[VOL (cm³)]])*1000000</f>
        <v>464.85168765125724</v>
      </c>
      <c r="Q8" s="3">
        <f>(ic25_[[#This Row],[COMPRIMENTO (cm)]]/100)/(ic25_[[#This Row],[SW]]/1000000)</f>
        <v>4506.8259385665524</v>
      </c>
      <c r="R8" s="3">
        <f>(((ic25_[[#This Row],[SW Vel. (m/s)]]^2)*ic25_[[#This Row],[ME.Aparente m/V (kg/m³)]])/1000000)</f>
        <v>9441.8257755381183</v>
      </c>
      <c r="S8" s="3">
        <v>192.83</v>
      </c>
      <c r="T8" s="3">
        <v>169.96</v>
      </c>
      <c r="U8" s="7">
        <f>((ic25_[[#This Row],[Massa amostra úmida (g)]]-ic25_[[#This Row],[Massa amostra seco (g)]])/ic25_[[#This Row],[Massa amostra úmida (g)]])</f>
        <v>0.11860187730124983</v>
      </c>
      <c r="V8" s="2">
        <f>(((ic25_[[#This Row],[Massa amostra seco (g)]]/1000)/(ic25_[[#This Row],[VOL sat (cm³)]]/1000000)))</f>
        <v>402.65339966832505</v>
      </c>
      <c r="W8" s="1">
        <v>7</v>
      </c>
      <c r="X8" s="14" t="s">
        <v>81</v>
      </c>
      <c r="Y8" t="s">
        <v>84</v>
      </c>
      <c r="Z8" s="18">
        <f>(3*mec_rasc[[#This Row],[Max Force (kgf)]]*169.1)/(2*((mec_rasc[[#This Row],[Base do CP (mm)]])/10)*((mec_rasc[[#This Row],[Altura Média do CP (mm)]])/10)^2)</f>
        <v>486.39465292034561</v>
      </c>
      <c r="AA8" s="29">
        <f>_xlfn.STDEV.S(ic25_[MOE_din (Mpa)])/AVERAGE(ic25_[[#This Row],[MOE_din (Mpa)]])</f>
        <v>0.17820754959186938</v>
      </c>
      <c r="AB8" s="10">
        <f>(mec_rasc[[#This Row],[fm '[corrigida'] (kgf/cm²)]]/10.2)*AC8</f>
        <v>9441.8257755381183</v>
      </c>
      <c r="AC8" s="24">
        <f>ic25_[[#This Row],[MOE_din (Mpa)]]/(ic25_[[#This Row],[fm '[corrigida'] (kgf/cm²)]]/10.2)</f>
        <v>198.00099020878926</v>
      </c>
    </row>
    <row r="9" spans="1:29" x14ac:dyDescent="0.3">
      <c r="A9" s="4" t="s">
        <v>59</v>
      </c>
      <c r="B9" s="4" t="s">
        <v>21</v>
      </c>
      <c r="C9" s="4" t="str">
        <f t="shared" si="0"/>
        <v>28K / 16F</v>
      </c>
      <c r="D9" s="4" t="s">
        <v>36</v>
      </c>
      <c r="E9" s="2">
        <v>261.89999999999998</v>
      </c>
      <c r="F9" s="3">
        <v>89.05</v>
      </c>
      <c r="G9" s="1">
        <v>630</v>
      </c>
      <c r="H9" s="3">
        <v>88.83</v>
      </c>
      <c r="I9" s="3">
        <v>34.65</v>
      </c>
      <c r="J9" s="3">
        <v>34.700000000000003</v>
      </c>
      <c r="K9" s="1">
        <v>3380</v>
      </c>
      <c r="L9" s="3">
        <f>AVERAGE(ic25_[[#This Row],[LARGURA A]],ic25_[[#This Row],[LARGURA B]])</f>
        <v>88.94</v>
      </c>
      <c r="M9" s="3">
        <f>AVERAGE(ic25_[[#This Row],[ESPESSURA A]],ic25_[[#This Row],[ESPESSURA B]])</f>
        <v>34.674999999999997</v>
      </c>
      <c r="N9" s="3">
        <f>ic25_[[#This Row],[COMPRIMENTO (cm)]]*(ic25_[[#This Row],[LARGURA MÉD (mm)]]*100)*(ic25_[[#This Row],[ESPESSURA MÉD (mm)]]*100)</f>
        <v>8076981595.4999981</v>
      </c>
      <c r="O9" s="3">
        <v>424.1</v>
      </c>
      <c r="P9" s="3">
        <f>(ic25_[[#This Row],[Massa (g)]]*1000)/(ic25_[[#This Row],[VOL (cm³)]])*1000000</f>
        <v>418.47315857239664</v>
      </c>
      <c r="Q9" s="3">
        <f>(ic25_[[#This Row],[COMPRIMENTO (cm)]]/100)/(ic25_[[#This Row],[SW]]/1000000)</f>
        <v>4157.1428571428569</v>
      </c>
      <c r="R9" s="3">
        <f>(((ic25_[[#This Row],[SW Vel. (m/s)]]^2)*ic25_[[#This Row],[ME.Aparente m/V (kg/m³)]])/1000000)</f>
        <v>7231.9848042998192</v>
      </c>
      <c r="S9" s="3">
        <v>154.33000000000001</v>
      </c>
      <c r="T9" s="3">
        <v>135.16999999999999</v>
      </c>
      <c r="U9" s="7">
        <f>((ic25_[[#This Row],[Massa amostra úmida (g)]]-ic25_[[#This Row],[Massa amostra seco (g)]])/ic25_[[#This Row],[Massa amostra úmida (g)]])</f>
        <v>0.12414954966629964</v>
      </c>
      <c r="V9" s="2">
        <f>(((ic25_[[#This Row],[Massa amostra seco (g)]]/1000)/(ic25_[[#This Row],[VOL sat (cm³)]]/1000000)))</f>
        <v>318.72199952841305</v>
      </c>
      <c r="W9" s="1">
        <v>7</v>
      </c>
      <c r="X9" s="14" t="s">
        <v>81</v>
      </c>
      <c r="Y9" t="s">
        <v>85</v>
      </c>
      <c r="Z9" s="18">
        <f>(3*mec_rasc[[#This Row],[Max Force (kgf)]]*169.1)/(2*((mec_rasc[[#This Row],[Base do CP (mm)]])/10)*((mec_rasc[[#This Row],[Altura Média do CP (mm)]])/10)^2)</f>
        <v>122.97874463841096</v>
      </c>
      <c r="AA9" s="29">
        <f>_xlfn.STDEV.S(ic25_[MOE_din (Mpa)])/AVERAGE(ic25_[[#This Row],[MOE_din (Mpa)]])</f>
        <v>0.23266152801255852</v>
      </c>
      <c r="AB9" s="10">
        <f>(mec_rasc[[#This Row],[fm '[corrigida'] (kgf/cm²)]]/10.2)*AC9</f>
        <v>7231.9848042998192</v>
      </c>
      <c r="AC9" s="24">
        <f>ic25_[[#This Row],[MOE_din (Mpa)]]/(ic25_[[#This Row],[fm '[corrigida'] (kgf/cm²)]]/10.2)</f>
        <v>599.82922431636314</v>
      </c>
    </row>
    <row r="10" spans="1:29" x14ac:dyDescent="0.3">
      <c r="A10" s="4" t="s">
        <v>56</v>
      </c>
      <c r="B10" s="4" t="s">
        <v>18</v>
      </c>
      <c r="C10" s="4" t="str">
        <f t="shared" si="0"/>
        <v>25K / 206G</v>
      </c>
      <c r="D10" s="4" t="s">
        <v>33</v>
      </c>
      <c r="E10" s="2">
        <v>264.5</v>
      </c>
      <c r="F10" s="3">
        <v>89.05</v>
      </c>
      <c r="G10" s="1">
        <v>648</v>
      </c>
      <c r="H10" s="3">
        <v>89.08</v>
      </c>
      <c r="I10" s="3">
        <v>34.82</v>
      </c>
      <c r="J10" s="3">
        <v>34.700000000000003</v>
      </c>
      <c r="K10" s="1">
        <v>3220</v>
      </c>
      <c r="L10" s="3">
        <f>AVERAGE(ic25_[[#This Row],[LARGURA A]],ic25_[[#This Row],[LARGURA B]])</f>
        <v>89.064999999999998</v>
      </c>
      <c r="M10" s="3">
        <f>AVERAGE(ic25_[[#This Row],[ESPESSURA A]],ic25_[[#This Row],[ESPESSURA B]])</f>
        <v>34.760000000000005</v>
      </c>
      <c r="N10" s="3">
        <f>ic25_[[#This Row],[COMPRIMENTO (cm)]]*(ic25_[[#This Row],[LARGURA MÉD (mm)]]*100)*(ic25_[[#This Row],[ESPESSURA MÉD (mm)]]*100)</f>
        <v>8188653913.000001</v>
      </c>
      <c r="O10" s="3">
        <v>427.5</v>
      </c>
      <c r="P10" s="3">
        <f>(ic25_[[#This Row],[Massa (g)]]*1000)/(ic25_[[#This Row],[VOL (cm³)]])*1000000</f>
        <v>393.22702292840199</v>
      </c>
      <c r="Q10" s="3">
        <f>(ic25_[[#This Row],[COMPRIMENTO (cm)]]/100)/(ic25_[[#This Row],[SW]]/1000000)</f>
        <v>4081.7901234567898</v>
      </c>
      <c r="R10" s="3">
        <f>(((ic25_[[#This Row],[SW Vel. (m/s)]]^2)*ic25_[[#This Row],[ME.Aparente m/V (kg/m³)]])/1000000)</f>
        <v>6551.5596019153736</v>
      </c>
      <c r="S10" s="3">
        <v>157.35</v>
      </c>
      <c r="T10" s="3">
        <v>137.47999999999999</v>
      </c>
      <c r="U10" s="7">
        <f>((ic25_[[#This Row],[Massa amostra úmida (g)]]-ic25_[[#This Row],[Massa amostra seco (g)]])/ic25_[[#This Row],[Massa amostra úmida (g)]])</f>
        <v>0.1262789958690817</v>
      </c>
      <c r="V10" s="2">
        <f>(((ic25_[[#This Row],[Massa amostra seco (g)]]/1000)/(ic25_[[#This Row],[VOL sat (cm³)]]/1000000)))</f>
        <v>321.59064327485379</v>
      </c>
      <c r="W10" s="1">
        <v>10</v>
      </c>
      <c r="X10" s="14" t="s">
        <v>81</v>
      </c>
      <c r="Y10" t="s">
        <v>85</v>
      </c>
      <c r="Z10" s="18">
        <f>(3*mec_rasc[[#This Row],[Max Force (kgf)]]*169.1)/(2*((mec_rasc[[#This Row],[Base do CP (mm)]])/10)*((mec_rasc[[#This Row],[Altura Média do CP (mm)]])/10)^2)</f>
        <v>399.78422330138102</v>
      </c>
      <c r="AA10" s="29">
        <f>_xlfn.STDEV.S(ic25_[MOE_din (Mpa)])/AVERAGE(ic25_[[#This Row],[MOE_din (Mpa)]])</f>
        <v>0.25682505195252808</v>
      </c>
      <c r="AB10" s="10">
        <f>(mec_rasc[[#This Row],[fm '[corrigida'] (kgf/cm²)]]/10.2)*AC10</f>
        <v>6551.5596019153736</v>
      </c>
      <c r="AC10" s="24">
        <f>ic25_[[#This Row],[MOE_din (Mpa)]]/(ic25_[[#This Row],[fm '[corrigida'] (kgf/cm²)]]/10.2)</f>
        <v>167.15494020172846</v>
      </c>
    </row>
    <row r="11" spans="1:29" x14ac:dyDescent="0.3">
      <c r="A11" s="4" t="s">
        <v>50</v>
      </c>
      <c r="B11" s="4" t="s">
        <v>12</v>
      </c>
      <c r="C11" s="4" t="str">
        <f t="shared" si="0"/>
        <v>19K / 38F</v>
      </c>
      <c r="D11" s="4" t="s">
        <v>27</v>
      </c>
      <c r="E11" s="2">
        <v>264.7</v>
      </c>
      <c r="F11" s="3">
        <v>89.1</v>
      </c>
      <c r="G11" s="1">
        <v>618</v>
      </c>
      <c r="H11" s="3">
        <v>89.08</v>
      </c>
      <c r="I11" s="3">
        <v>35.54</v>
      </c>
      <c r="J11" s="3">
        <v>35.33</v>
      </c>
      <c r="K11" s="1">
        <v>3130</v>
      </c>
      <c r="L11" s="3">
        <f>AVERAGE(ic25_[[#This Row],[LARGURA A]],ic25_[[#This Row],[LARGURA B]])</f>
        <v>89.09</v>
      </c>
      <c r="M11" s="3">
        <f>AVERAGE(ic25_[[#This Row],[ESPESSURA A]],ic25_[[#This Row],[ESPESSURA B]])</f>
        <v>35.435000000000002</v>
      </c>
      <c r="N11" s="3">
        <f>ic25_[[#This Row],[COMPRIMENTO (cm)]]*(ic25_[[#This Row],[LARGURA MÉD (mm)]]*100)*(ic25_[[#This Row],[ESPESSURA MÉD (mm)]]*100)</f>
        <v>8356325285.0499992</v>
      </c>
      <c r="O11" s="3">
        <v>420.1</v>
      </c>
      <c r="P11" s="3">
        <f>(ic25_[[#This Row],[Massa (g)]]*1000)/(ic25_[[#This Row],[VOL (cm³)]])*1000000</f>
        <v>374.56655805390562</v>
      </c>
      <c r="Q11" s="3">
        <f>(ic25_[[#This Row],[COMPRIMENTO (cm)]]/100)/(ic25_[[#This Row],[SW]]/1000000)</f>
        <v>4283.1715210355987</v>
      </c>
      <c r="R11" s="3">
        <f>(((ic25_[[#This Row],[SW Vel. (m/s)]]^2)*ic25_[[#This Row],[ME.Aparente m/V (kg/m³)]])/1000000)</f>
        <v>6871.6326199964333</v>
      </c>
      <c r="S11" s="3">
        <v>144.49</v>
      </c>
      <c r="T11" s="3">
        <v>126.87</v>
      </c>
      <c r="U11" s="7">
        <f>((ic25_[[#This Row],[Massa amostra úmida (g)]]-ic25_[[#This Row],[Massa amostra seco (g)]])/ic25_[[#This Row],[Massa amostra úmida (g)]])</f>
        <v>0.1219461554432833</v>
      </c>
      <c r="V11" s="2">
        <f>(((ic25_[[#This Row],[Massa amostra seco (g)]]/1000)/(ic25_[[#This Row],[VOL sat (cm³)]]/1000000)))</f>
        <v>301.99952392287554</v>
      </c>
      <c r="W11" s="1">
        <v>9</v>
      </c>
      <c r="X11" s="14" t="s">
        <v>81</v>
      </c>
      <c r="Y11" t="s">
        <v>85</v>
      </c>
      <c r="Z11" s="18">
        <f>(3*mec_rasc[[#This Row],[Max Force (kgf)]]*169.1)/(2*((mec_rasc[[#This Row],[Base do CP (mm)]])/10)*((mec_rasc[[#This Row],[Altura Média do CP (mm)]])/10)^2)</f>
        <v>323.9734617990099</v>
      </c>
      <c r="AA11" s="29">
        <f>_xlfn.STDEV.S(ic25_[MOE_din (Mpa)])/AVERAGE(ic25_[[#This Row],[MOE_din (Mpa)]])</f>
        <v>0.24486242617738682</v>
      </c>
      <c r="AB11" s="10">
        <f>(mec_rasc[[#This Row],[fm '[corrigida'] (kgf/cm²)]]/10.2)*AC11</f>
        <v>6871.6326199964333</v>
      </c>
      <c r="AC11" s="24">
        <f>ic25_[[#This Row],[MOE_din (Mpa)]]/(ic25_[[#This Row],[fm '[corrigida'] (kgf/cm²)]]/10.2)</f>
        <v>216.34689562149137</v>
      </c>
    </row>
    <row r="12" spans="1:29" x14ac:dyDescent="0.3">
      <c r="A12" s="4" t="s">
        <v>47</v>
      </c>
      <c r="B12" s="4" t="s">
        <v>9</v>
      </c>
      <c r="C12" s="4" t="str">
        <f t="shared" si="0"/>
        <v>16K / 49F</v>
      </c>
      <c r="D12" s="4" t="s">
        <v>24</v>
      </c>
      <c r="E12" s="2">
        <v>264.39999999999998</v>
      </c>
      <c r="F12" s="3">
        <v>89.15</v>
      </c>
      <c r="G12" s="1">
        <v>688</v>
      </c>
      <c r="H12" s="3">
        <v>88.7</v>
      </c>
      <c r="I12" s="3">
        <v>35.17</v>
      </c>
      <c r="J12" s="3">
        <v>35.06</v>
      </c>
      <c r="K12" s="1">
        <v>3200</v>
      </c>
      <c r="L12" s="3">
        <f>AVERAGE(ic25_[[#This Row],[LARGURA A]],ic25_[[#This Row],[LARGURA B]])</f>
        <v>88.925000000000011</v>
      </c>
      <c r="M12" s="3">
        <f>AVERAGE(ic25_[[#This Row],[ESPESSURA A]],ic25_[[#This Row],[ESPESSURA B]])</f>
        <v>35.115000000000002</v>
      </c>
      <c r="N12" s="3">
        <f>ic25_[[#This Row],[COMPRIMENTO (cm)]]*(ic25_[[#This Row],[LARGURA MÉD (mm)]]*100)*(ic25_[[#This Row],[ESPESSURA MÉD (mm)]]*100)</f>
        <v>8256158035.5000019</v>
      </c>
      <c r="O12" s="3">
        <v>418</v>
      </c>
      <c r="P12" s="3">
        <f>(ic25_[[#This Row],[Massa (g)]]*1000)/(ic25_[[#This Row],[VOL (cm³)]])*1000000</f>
        <v>387.58948002697775</v>
      </c>
      <c r="Q12" s="3">
        <f>(ic25_[[#This Row],[COMPRIMENTO (cm)]]/100)/(ic25_[[#This Row],[SW]]/1000000)</f>
        <v>3843.0232558139528</v>
      </c>
      <c r="R12" s="3">
        <f>(((ic25_[[#This Row],[SW Vel. (m/s)]]^2)*ic25_[[#This Row],[ME.Aparente m/V (kg/m³)]])/1000000)</f>
        <v>5724.2422661866913</v>
      </c>
      <c r="S12" s="3">
        <v>149.24</v>
      </c>
      <c r="T12" s="3">
        <v>130.78</v>
      </c>
      <c r="U12" s="7">
        <f>((ic25_[[#This Row],[Massa amostra úmida (g)]]-ic25_[[#This Row],[Massa amostra seco (g)]])/ic25_[[#This Row],[Massa amostra úmida (g)]])</f>
        <v>0.12369337979094082</v>
      </c>
      <c r="V12" s="2">
        <f>(((ic25_[[#This Row],[Massa amostra seco (g)]]/1000)/(ic25_[[#This Row],[VOL sat (cm³)]]/1000000)))</f>
        <v>312.87081339712921</v>
      </c>
      <c r="W12" s="1">
        <v>7</v>
      </c>
      <c r="X12" s="14" t="s">
        <v>81</v>
      </c>
      <c r="Y12" t="s">
        <v>84</v>
      </c>
      <c r="Z12" s="18">
        <f>(3*mec_rasc[[#This Row],[Max Force (kgf)]]*169.1)/(2*((mec_rasc[[#This Row],[Base do CP (mm)]])/10)*((mec_rasc[[#This Row],[Altura Média do CP (mm)]])/10)^2)</f>
        <v>238.85299797812399</v>
      </c>
      <c r="AA12" s="29">
        <f>_xlfn.STDEV.S(ic25_[MOE_din (Mpa)])/AVERAGE(ic25_[[#This Row],[MOE_din (Mpa)]])</f>
        <v>0.29394364474599671</v>
      </c>
      <c r="AB12" s="10">
        <f>(mec_rasc[[#This Row],[fm '[corrigida'] (kgf/cm²)]]/10.2)*AC12</f>
        <v>5724.2422661866913</v>
      </c>
      <c r="AC12" s="24">
        <f>ic25_[[#This Row],[MOE_din (Mpa)]]/(ic25_[[#This Row],[fm '[corrigida'] (kgf/cm²)]]/10.2)</f>
        <v>244.44855877610465</v>
      </c>
    </row>
    <row r="13" spans="1:29" x14ac:dyDescent="0.3">
      <c r="A13" s="4" t="s">
        <v>52</v>
      </c>
      <c r="B13" s="4" t="s">
        <v>14</v>
      </c>
      <c r="C13" s="4" t="str">
        <f t="shared" si="0"/>
        <v>21K / 57F</v>
      </c>
      <c r="D13" s="4" t="s">
        <v>29</v>
      </c>
      <c r="E13" s="2">
        <v>262.3</v>
      </c>
      <c r="F13" s="3">
        <v>89.16</v>
      </c>
      <c r="G13" s="1">
        <v>660</v>
      </c>
      <c r="H13" s="3">
        <v>89.05</v>
      </c>
      <c r="I13" s="3">
        <v>34.72</v>
      </c>
      <c r="J13" s="3">
        <v>34.700000000000003</v>
      </c>
      <c r="K13" s="1">
        <v>3355</v>
      </c>
      <c r="L13" s="3">
        <f>AVERAGE(ic25_[[#This Row],[LARGURA A]],ic25_[[#This Row],[LARGURA B]])</f>
        <v>89.10499999999999</v>
      </c>
      <c r="M13" s="3">
        <f>AVERAGE(ic25_[[#This Row],[ESPESSURA A]],ic25_[[#This Row],[ESPESSURA B]])</f>
        <v>34.71</v>
      </c>
      <c r="N13" s="3">
        <f>ic25_[[#This Row],[COMPRIMENTO (cm)]]*(ic25_[[#This Row],[LARGURA MÉD (mm)]]*100)*(ic25_[[#This Row],[ESPESSURA MÉD (mm)]]*100)</f>
        <v>8112505024.6499977</v>
      </c>
      <c r="O13" s="3">
        <v>419.3</v>
      </c>
      <c r="P13" s="3">
        <f>(ic25_[[#This Row],[Massa (g)]]*1000)/(ic25_[[#This Row],[VOL (cm³)]])*1000000</f>
        <v>413.55906588726538</v>
      </c>
      <c r="Q13" s="3">
        <f>(ic25_[[#This Row],[COMPRIMENTO (cm)]]/100)/(ic25_[[#This Row],[SW]]/1000000)</f>
        <v>3974.2424242424245</v>
      </c>
      <c r="R13" s="3">
        <f>(((ic25_[[#This Row],[SW Vel. (m/s)]]^2)*ic25_[[#This Row],[ME.Aparente m/V (kg/m³)]])/1000000)</f>
        <v>6532.0011993202152</v>
      </c>
      <c r="S13" s="3">
        <v>152.41999999999999</v>
      </c>
      <c r="T13" s="3">
        <v>133.30000000000001</v>
      </c>
      <c r="U13" s="7">
        <f>((ic25_[[#This Row],[Massa amostra úmida (g)]]-ic25_[[#This Row],[Massa amostra seco (g)]])/ic25_[[#This Row],[Massa amostra úmida (g)]])</f>
        <v>0.12544285526833734</v>
      </c>
      <c r="V13" s="2">
        <f>(((ic25_[[#This Row],[Massa amostra seco (g)]]/1000)/(ic25_[[#This Row],[VOL sat (cm³)]]/1000000)))</f>
        <v>317.91080372048651</v>
      </c>
      <c r="W13" s="1">
        <v>8</v>
      </c>
      <c r="X13" s="14" t="s">
        <v>81</v>
      </c>
      <c r="Y13" t="s">
        <v>85</v>
      </c>
      <c r="Z13" s="18">
        <f>(3*mec_rasc[[#This Row],[Max Force (kgf)]]*169.1)/(2*((mec_rasc[[#This Row],[Base do CP (mm)]])/10)*((mec_rasc[[#This Row],[Altura Média do CP (mm)]])/10)^2)</f>
        <v>416.54271319918774</v>
      </c>
      <c r="AA13" s="29">
        <f>_xlfn.STDEV.S(ic25_[MOE_din (Mpa)])/AVERAGE(ic25_[[#This Row],[MOE_din (Mpa)]])</f>
        <v>0.25759404871314301</v>
      </c>
      <c r="AB13" s="10">
        <f>(mec_rasc[[#This Row],[fm '[corrigida'] (kgf/cm²)]]/10.2)*AC13</f>
        <v>6532.0011993202152</v>
      </c>
      <c r="AC13" s="24">
        <f>ic25_[[#This Row],[MOE_din (Mpa)]]/(ic25_[[#This Row],[fm '[corrigida'] (kgf/cm²)]]/10.2)</f>
        <v>159.95097290588279</v>
      </c>
    </row>
    <row r="14" spans="1:29" x14ac:dyDescent="0.3">
      <c r="A14" s="4" t="s">
        <v>58</v>
      </c>
      <c r="B14" s="4" t="s">
        <v>20</v>
      </c>
      <c r="C14" s="4" t="str">
        <f t="shared" si="0"/>
        <v>27K / 59F</v>
      </c>
      <c r="D14" s="4" t="s">
        <v>35</v>
      </c>
      <c r="E14" s="2">
        <v>267</v>
      </c>
      <c r="F14" s="3">
        <v>88.99</v>
      </c>
      <c r="G14" s="1">
        <v>591</v>
      </c>
      <c r="H14" s="3">
        <v>89.15</v>
      </c>
      <c r="I14" s="3">
        <v>34.520000000000003</v>
      </c>
      <c r="J14" s="3">
        <v>34.520000000000003</v>
      </c>
      <c r="K14" s="1">
        <v>3895</v>
      </c>
      <c r="L14" s="3">
        <f>AVERAGE(ic25_[[#This Row],[LARGURA A]],ic25_[[#This Row],[LARGURA B]])</f>
        <v>89.07</v>
      </c>
      <c r="M14" s="3">
        <f>AVERAGE(ic25_[[#This Row],[ESPESSURA A]],ic25_[[#This Row],[ESPESSURA B]])</f>
        <v>34.520000000000003</v>
      </c>
      <c r="N14" s="3">
        <f>ic25_[[#This Row],[COMPRIMENTO (cm)]]*(ic25_[[#This Row],[LARGURA MÉD (mm)]]*100)*(ic25_[[#This Row],[ESPESSURA MÉD (mm)]]*100)</f>
        <v>8209439388.000001</v>
      </c>
      <c r="O14" s="3">
        <v>419.8</v>
      </c>
      <c r="P14" s="3">
        <f>(ic25_[[#This Row],[Massa (g)]]*1000)/(ic25_[[#This Row],[VOL (cm³)]])*1000000</f>
        <v>474.45383489808643</v>
      </c>
      <c r="Q14" s="3">
        <f>(ic25_[[#This Row],[COMPRIMENTO (cm)]]/100)/(ic25_[[#This Row],[SW]]/1000000)</f>
        <v>4517.7664974619283</v>
      </c>
      <c r="R14" s="3">
        <f>(((ic25_[[#This Row],[SW Vel. (m/s)]]^2)*ic25_[[#This Row],[ME.Aparente m/V (kg/m³)]])/1000000)</f>
        <v>9683.7043629769942</v>
      </c>
      <c r="S14" s="3">
        <v>183.28</v>
      </c>
      <c r="T14" s="3">
        <v>160.9</v>
      </c>
      <c r="U14" s="7">
        <f>((ic25_[[#This Row],[Massa amostra úmida (g)]]-ic25_[[#This Row],[Massa amostra seco (g)]])/ic25_[[#This Row],[Massa amostra úmida (g)]])</f>
        <v>0.12210824967263201</v>
      </c>
      <c r="V14" s="2">
        <f>(((ic25_[[#This Row],[Massa amostra seco (g)]]/1000)/(ic25_[[#This Row],[VOL sat (cm³)]]/1000000)))</f>
        <v>383.27775131014772</v>
      </c>
      <c r="W14" s="1">
        <v>10</v>
      </c>
      <c r="X14" s="14" t="s">
        <v>81</v>
      </c>
      <c r="Y14" t="s">
        <v>85</v>
      </c>
      <c r="Z14" s="18">
        <f>(3*mec_rasc[[#This Row],[Max Force (kgf)]]*169.1)/(2*((mec_rasc[[#This Row],[Base do CP (mm)]])/10)*((mec_rasc[[#This Row],[Altura Média do CP (mm)]])/10)^2)</f>
        <v>155.60957149763567</v>
      </c>
      <c r="AA14" s="29">
        <f>_xlfn.STDEV.S(ic25_[MOE_din (Mpa)])/AVERAGE(ic25_[[#This Row],[MOE_din (Mpa)]])</f>
        <v>0.17375629945550386</v>
      </c>
      <c r="AB14" s="10">
        <f>(mec_rasc[[#This Row],[fm '[corrigida'] (kgf/cm²)]]/10.2)*AC14</f>
        <v>9683.7043629769942</v>
      </c>
      <c r="AC14" s="24">
        <f>ic25_[[#This Row],[MOE_din (Mpa)]]/(ic25_[[#This Row],[fm '[corrigida'] (kgf/cm²)]]/10.2)</f>
        <v>634.7539136039976</v>
      </c>
    </row>
    <row r="15" spans="1:29" x14ac:dyDescent="0.3">
      <c r="A15" s="4" t="s">
        <v>48</v>
      </c>
      <c r="B15" s="4" t="s">
        <v>10</v>
      </c>
      <c r="C15" s="4" t="str">
        <f t="shared" si="0"/>
        <v>17K / 65F</v>
      </c>
      <c r="D15" s="4" t="s">
        <v>25</v>
      </c>
      <c r="E15" s="2">
        <v>263</v>
      </c>
      <c r="F15" s="3">
        <v>89.26</v>
      </c>
      <c r="G15" s="1">
        <v>662</v>
      </c>
      <c r="H15" s="3">
        <v>88.85</v>
      </c>
      <c r="I15" s="3">
        <v>34.82</v>
      </c>
      <c r="J15" s="3">
        <v>35.03</v>
      </c>
      <c r="K15" s="1">
        <v>3535</v>
      </c>
      <c r="L15" s="3">
        <f>AVERAGE(ic25_[[#This Row],[LARGURA A]],ic25_[[#This Row],[LARGURA B]])</f>
        <v>89.055000000000007</v>
      </c>
      <c r="M15" s="3">
        <f>AVERAGE(ic25_[[#This Row],[ESPESSURA A]],ic25_[[#This Row],[ESPESSURA B]])</f>
        <v>34.924999999999997</v>
      </c>
      <c r="N15" s="3">
        <f>ic25_[[#This Row],[COMPRIMENTO (cm)]]*(ic25_[[#This Row],[LARGURA MÉD (mm)]]*100)*(ic25_[[#This Row],[ESPESSURA MÉD (mm)]]*100)</f>
        <v>8179946651.249999</v>
      </c>
      <c r="O15" s="3">
        <v>411.4</v>
      </c>
      <c r="P15" s="3">
        <f>(ic25_[[#This Row],[Massa (g)]]*1000)/(ic25_[[#This Row],[VOL (cm³)]])*1000000</f>
        <v>432.15440768917574</v>
      </c>
      <c r="Q15" s="3">
        <f>(ic25_[[#This Row],[COMPRIMENTO (cm)]]/100)/(ic25_[[#This Row],[SW]]/1000000)</f>
        <v>3972.8096676737155</v>
      </c>
      <c r="R15" s="3">
        <f>(((ic25_[[#This Row],[SW Vel. (m/s)]]^2)*ic25_[[#This Row],[ME.Aparente m/V (kg/m³)]])/1000000)</f>
        <v>6820.7866452142162</v>
      </c>
      <c r="S15" s="3">
        <v>151.91</v>
      </c>
      <c r="T15" s="3">
        <v>132.58000000000001</v>
      </c>
      <c r="U15" s="7">
        <f>((ic25_[[#This Row],[Massa amostra úmida (g)]]-ic25_[[#This Row],[Massa amostra seco (g)]])/ic25_[[#This Row],[Massa amostra úmida (g)]])</f>
        <v>0.12724639589230455</v>
      </c>
      <c r="V15" s="2">
        <f>(((ic25_[[#This Row],[Massa amostra seco (g)]]/1000)/(ic25_[[#This Row],[VOL sat (cm³)]]/1000000)))</f>
        <v>322.26543509965973</v>
      </c>
      <c r="W15" s="1">
        <v>6</v>
      </c>
      <c r="X15" s="14" t="s">
        <v>81</v>
      </c>
      <c r="Y15" t="s">
        <v>84</v>
      </c>
      <c r="Z15" s="18">
        <f>(3*mec_rasc[[#This Row],[Max Force (kgf)]]*169.1)/(2*((mec_rasc[[#This Row],[Base do CP (mm)]])/10)*((mec_rasc[[#This Row],[Altura Média do CP (mm)]])/10)^2)</f>
        <v>352.03839571844895</v>
      </c>
      <c r="AA15" s="29">
        <f>_xlfn.STDEV.S(ic25_[MOE_din (Mpa)])/AVERAGE(ic25_[[#This Row],[MOE_din (Mpa)]])</f>
        <v>0.24668776823749416</v>
      </c>
      <c r="AB15" s="10">
        <f>(mec_rasc[[#This Row],[fm '[corrigida'] (kgf/cm²)]]/10.2)*AC15</f>
        <v>6820.7866452142162</v>
      </c>
      <c r="AC15" s="24">
        <f>ic25_[[#This Row],[MOE_din (Mpa)]]/(ic25_[[#This Row],[fm '[corrigida'] (kgf/cm²)]]/10.2)</f>
        <v>197.62623801077331</v>
      </c>
    </row>
    <row r="16" spans="1:29" x14ac:dyDescent="0.3">
      <c r="A16" s="4" t="s">
        <v>57</v>
      </c>
      <c r="B16" s="4" t="s">
        <v>19</v>
      </c>
      <c r="C16" s="4" t="str">
        <f t="shared" si="0"/>
        <v>26K / 81F</v>
      </c>
      <c r="D16" s="4" t="s">
        <v>34</v>
      </c>
      <c r="E16" s="2">
        <v>263</v>
      </c>
      <c r="F16" s="3">
        <v>89.15</v>
      </c>
      <c r="G16" s="1">
        <v>675</v>
      </c>
      <c r="H16" s="3">
        <v>89.02</v>
      </c>
      <c r="I16" s="3">
        <v>34.869999999999997</v>
      </c>
      <c r="J16" s="3">
        <v>34.82</v>
      </c>
      <c r="K16" s="1">
        <v>3310</v>
      </c>
      <c r="L16" s="3">
        <f>AVERAGE(ic25_[[#This Row],[LARGURA A]],ic25_[[#This Row],[LARGURA B]])</f>
        <v>89.085000000000008</v>
      </c>
      <c r="M16" s="3">
        <f>AVERAGE(ic25_[[#This Row],[ESPESSURA A]],ic25_[[#This Row],[ESPESSURA B]])</f>
        <v>34.844999999999999</v>
      </c>
      <c r="N16" s="3">
        <f>ic25_[[#This Row],[COMPRIMENTO (cm)]]*(ic25_[[#This Row],[LARGURA MÉD (mm)]]*100)*(ic25_[[#This Row],[ESPESSURA MÉD (mm)]]*100)</f>
        <v>8163958749.75</v>
      </c>
      <c r="O16" s="3">
        <v>417.9</v>
      </c>
      <c r="P16" s="3">
        <f>(ic25_[[#This Row],[Massa (g)]]*1000)/(ic25_[[#This Row],[VOL (cm³)]])*1000000</f>
        <v>405.44055910392245</v>
      </c>
      <c r="Q16" s="3">
        <f>(ic25_[[#This Row],[COMPRIMENTO (cm)]]/100)/(ic25_[[#This Row],[SW]]/1000000)</f>
        <v>3896.2962962962961</v>
      </c>
      <c r="R16" s="3">
        <f>(((ic25_[[#This Row],[SW Vel. (m/s)]]^2)*ic25_[[#This Row],[ME.Aparente m/V (kg/m³)]])/1000000)</f>
        <v>6155.0437383065482</v>
      </c>
      <c r="S16" s="3">
        <v>155.15</v>
      </c>
      <c r="T16" s="3">
        <v>135.6</v>
      </c>
      <c r="U16" s="7">
        <f>((ic25_[[#This Row],[Massa amostra úmida (g)]]-ic25_[[#This Row],[Massa amostra seco (g)]])/ic25_[[#This Row],[Massa amostra úmida (g)]])</f>
        <v>0.12600708991298751</v>
      </c>
      <c r="V16" s="2">
        <f>(((ic25_[[#This Row],[Massa amostra seco (g)]]/1000)/(ic25_[[#This Row],[VOL sat (cm³)]]/1000000)))</f>
        <v>324.47954055994262</v>
      </c>
      <c r="W16" s="1">
        <v>9</v>
      </c>
      <c r="X16" s="14" t="s">
        <v>81</v>
      </c>
      <c r="Y16" t="s">
        <v>84</v>
      </c>
      <c r="Z16" s="18">
        <f>(3*mec_rasc[[#This Row],[Max Force (kgf)]]*169.1)/(2*((mec_rasc[[#This Row],[Base do CP (mm)]])/10)*((mec_rasc[[#This Row],[Altura Média do CP (mm)]])/10)^2)</f>
        <v>404.11706267193136</v>
      </c>
      <c r="AA16" s="29">
        <f>_xlfn.STDEV.S(ic25_[MOE_din (Mpa)])/AVERAGE(ic25_[[#This Row],[MOE_din (Mpa)]])</f>
        <v>0.2733700533531771</v>
      </c>
      <c r="AB16" s="10">
        <f>(mec_rasc[[#This Row],[fm '[corrigida'] (kgf/cm²)]]/10.2)*AC16</f>
        <v>6155.0437383065482</v>
      </c>
      <c r="AC16" s="24">
        <f>ic25_[[#This Row],[MOE_din (Mpa)]]/(ic25_[[#This Row],[fm '[corrigida'] (kgf/cm²)]]/10.2)</f>
        <v>155.35460372702391</v>
      </c>
    </row>
    <row r="18" spans="27:27" x14ac:dyDescent="0.3">
      <c r="AA18" s="3">
        <f>AVERAGE(AA2:AA8)</f>
        <v>0.17991485364770535</v>
      </c>
    </row>
    <row r="19" spans="27:27" x14ac:dyDescent="0.3">
      <c r="AA19" s="3">
        <f>AVERAGE(AA9:AA16)</f>
        <v>0.24746260258097355</v>
      </c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66E3-7D93-491C-803F-00CF6766C99A}">
  <dimension ref="A1:D13"/>
  <sheetViews>
    <sheetView topLeftCell="E8" workbookViewId="0">
      <selection activeCell="C18" sqref="C18"/>
    </sheetView>
  </sheetViews>
  <sheetFormatPr defaultRowHeight="14.4" x14ac:dyDescent="0.3"/>
  <cols>
    <col min="1" max="1" width="49" bestFit="1" customWidth="1"/>
    <col min="2" max="2" width="9.5546875" bestFit="1" customWidth="1"/>
    <col min="3" max="3" width="15.88671875" bestFit="1" customWidth="1"/>
    <col min="4" max="4" width="22.44140625" bestFit="1" customWidth="1"/>
  </cols>
  <sheetData>
    <row r="1" spans="1:4" x14ac:dyDescent="0.3">
      <c r="A1" t="s">
        <v>112</v>
      </c>
      <c r="B1" t="s">
        <v>109</v>
      </c>
      <c r="C1" t="s">
        <v>119</v>
      </c>
      <c r="D1" t="s">
        <v>117</v>
      </c>
    </row>
    <row r="2" spans="1:4" ht="24" customHeight="1" x14ac:dyDescent="0.3">
      <c r="A2" t="s">
        <v>114</v>
      </c>
      <c r="B2">
        <f>AVERAGEIF(ic25_[Grupo Nodosidade],"A",ic25_[ME.Aparente m/V (kg/m³)])</f>
        <v>422.30441597430109</v>
      </c>
      <c r="D2" s="7">
        <f>(B2-B3)/B3</f>
        <v>9.6761194161893577E-3</v>
      </c>
    </row>
    <row r="3" spans="1:4" ht="24" customHeight="1" x14ac:dyDescent="0.3">
      <c r="A3" t="s">
        <v>113</v>
      </c>
      <c r="B3">
        <f>AVERAGEIF(ic25_[Grupo Nodosidade],"B",ic25_[ME.Aparente m/V (kg/m³)])</f>
        <v>418.25730831237661</v>
      </c>
      <c r="D3" s="7"/>
    </row>
    <row r="4" spans="1:4" ht="24" customHeight="1" x14ac:dyDescent="0.3">
      <c r="A4" t="s">
        <v>102</v>
      </c>
      <c r="B4">
        <f>AVERAGEIF(ic25_[Grupo Nodosidade],"A",ic25_[ME.Bás (kg/m³)])</f>
        <v>338.07181736066406</v>
      </c>
      <c r="D4" s="7">
        <f>(B4-B5)/B5</f>
        <v>1.22685524382776E-2</v>
      </c>
    </row>
    <row r="5" spans="1:4" ht="24" customHeight="1" x14ac:dyDescent="0.3">
      <c r="A5" t="s">
        <v>103</v>
      </c>
      <c r="B5">
        <f>AVERAGEIF(ic25_[Grupo Nodosidade],"B",ic25_[ME.Bás (kg/m³)])</f>
        <v>333.97443449798146</v>
      </c>
      <c r="D5" s="7"/>
    </row>
    <row r="6" spans="1:4" ht="24" customHeight="1" x14ac:dyDescent="0.3">
      <c r="A6" t="s">
        <v>100</v>
      </c>
      <c r="B6">
        <f>AVERAGEIF(ic25_[Grupo Nodosidade],"A",ic25_[MOE_din (Mpa)])</f>
        <v>9434.7507440762583</v>
      </c>
      <c r="D6" s="7">
        <f>(B6-B7)/B7</f>
        <v>0.30609328462232316</v>
      </c>
    </row>
    <row r="7" spans="1:4" ht="24" customHeight="1" x14ac:dyDescent="0.3">
      <c r="A7" t="s">
        <v>101</v>
      </c>
      <c r="B7">
        <f>AVERAGEIF(ic25_[Grupo Nodosidade],"B",ic25_[MOE_din (Mpa)])</f>
        <v>7223.6423348616026</v>
      </c>
      <c r="D7" s="7"/>
    </row>
    <row r="8" spans="1:4" ht="24" customHeight="1" x14ac:dyDescent="0.3">
      <c r="A8" t="s">
        <v>115</v>
      </c>
      <c r="B8">
        <f ca="1">AVERAGEIF(ic25_[Grupo Nodosidade],"A",ic25_[[#Headers],[MOE_est (Mpa)]])</f>
        <v>8981.7228878522837</v>
      </c>
      <c r="D8" s="7">
        <f ca="1">(B8-B9)/B9</f>
        <v>0.14566644434106052</v>
      </c>
    </row>
    <row r="9" spans="1:4" ht="24" customHeight="1" x14ac:dyDescent="0.3">
      <c r="A9" t="s">
        <v>116</v>
      </c>
      <c r="B9">
        <f ca="1">AVERAGEIF(ic25_[Grupo Nodosidade],"B",ic25_[[#Headers],[MOE_est (Mpa)]])</f>
        <v>7839.7363667382224</v>
      </c>
      <c r="D9" s="7"/>
    </row>
    <row r="10" spans="1:4" ht="24" customHeight="1" x14ac:dyDescent="0.3">
      <c r="A10" t="s">
        <v>105</v>
      </c>
      <c r="B10">
        <f>AVERAGEIF(ic25_[Grupo Nodosidade],"A",ic25_[SW Vel. (m/s)])</f>
        <v>4718.7130170394257</v>
      </c>
      <c r="D10" s="7">
        <f>(B10-B11)/B11</f>
        <v>0.14061018259019509</v>
      </c>
    </row>
    <row r="11" spans="1:4" ht="24" customHeight="1" x14ac:dyDescent="0.3">
      <c r="A11" t="s">
        <v>104</v>
      </c>
      <c r="B11">
        <f>AVERAGEIF(ic25_[Grupo Nodosidade],"B",ic25_[SW Vel. (m/s)])</f>
        <v>4137.0076201877919</v>
      </c>
      <c r="D11" s="7"/>
    </row>
    <row r="12" spans="1:4" ht="24" customHeight="1" x14ac:dyDescent="0.3">
      <c r="A12" t="s">
        <v>110</v>
      </c>
      <c r="B12">
        <f ca="1">AVERAGEIF(ic25_[Grupo Nodosidade],"A",ic25_[[#Headers],[Fator de Proporcionalidade F.P (E/fm)]])</f>
        <v>288.76011444824553</v>
      </c>
      <c r="D12" s="7">
        <f ca="1">(B12-B13)/B13</f>
        <v>5.4265017718648136E-3</v>
      </c>
    </row>
    <row r="13" spans="1:4" ht="24" customHeight="1" x14ac:dyDescent="0.3">
      <c r="A13" t="s">
        <v>111</v>
      </c>
      <c r="B13">
        <f ca="1">AVERAGEIF(ic25_[Grupo Nodosidade],"B",ic25_[[#Headers],[Fator de Proporcionalidade F.P (E/fm)]])</f>
        <v>287.2016143789358</v>
      </c>
      <c r="D13" s="7"/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11CF5-114E-47C2-9E50-BDD79BFED9E8}">
  <dimension ref="A1:G17"/>
  <sheetViews>
    <sheetView workbookViewId="0">
      <selection activeCell="F4" sqref="F4"/>
    </sheetView>
  </sheetViews>
  <sheetFormatPr defaultRowHeight="14.4" x14ac:dyDescent="0.3"/>
  <cols>
    <col min="1" max="1" width="10" bestFit="1" customWidth="1"/>
    <col min="2" max="2" width="18.109375" customWidth="1"/>
    <col min="3" max="3" width="25" customWidth="1"/>
    <col min="4" max="4" width="17.33203125" customWidth="1"/>
    <col min="5" max="5" width="14" customWidth="1"/>
    <col min="6" max="6" width="23.88671875" bestFit="1" customWidth="1"/>
    <col min="7" max="7" width="22.44140625" bestFit="1" customWidth="1"/>
  </cols>
  <sheetData>
    <row r="1" spans="1:7" x14ac:dyDescent="0.3">
      <c r="A1" s="28" t="s">
        <v>79</v>
      </c>
      <c r="B1" s="28" t="s">
        <v>67</v>
      </c>
      <c r="C1" s="28" t="s">
        <v>68</v>
      </c>
      <c r="D1" s="28" t="s">
        <v>94</v>
      </c>
      <c r="E1" s="28" t="s">
        <v>70</v>
      </c>
      <c r="F1" s="28" t="s">
        <v>120</v>
      </c>
      <c r="G1" s="28" t="s">
        <v>95</v>
      </c>
    </row>
    <row r="2" spans="1:7" x14ac:dyDescent="0.3">
      <c r="A2" s="4" t="s">
        <v>46</v>
      </c>
      <c r="B2" s="3">
        <v>34.04</v>
      </c>
      <c r="C2" s="3">
        <v>89.22</v>
      </c>
      <c r="D2" s="3">
        <v>169.1</v>
      </c>
      <c r="E2" s="3">
        <v>226.95673019725979</v>
      </c>
      <c r="F2" s="3">
        <v>9292.7483438159434</v>
      </c>
      <c r="G2" s="3">
        <f>mec_corrig[[#This Row],[MOE (Mpa) (Dinâmico)]]/0.9</f>
        <v>10325.275937573269</v>
      </c>
    </row>
    <row r="3" spans="1:7" x14ac:dyDescent="0.3">
      <c r="A3" s="4" t="s">
        <v>47</v>
      </c>
      <c r="B3" s="3">
        <v>35.119999999999997</v>
      </c>
      <c r="C3" s="3">
        <v>88.93</v>
      </c>
      <c r="D3" s="3">
        <v>169.1</v>
      </c>
      <c r="E3" s="3">
        <v>545.15717369994286</v>
      </c>
      <c r="F3" s="3">
        <v>8698.8179370434354</v>
      </c>
      <c r="G3" s="3">
        <f>mec_corrig[[#This Row],[MOE (Mpa) (Dinâmico)]]/0.9</f>
        <v>9665.3532633815939</v>
      </c>
    </row>
    <row r="4" spans="1:7" x14ac:dyDescent="0.3">
      <c r="A4" s="4" t="s">
        <v>48</v>
      </c>
      <c r="B4" s="3">
        <v>34.93</v>
      </c>
      <c r="C4" s="3">
        <v>89.06</v>
      </c>
      <c r="D4" s="3">
        <v>169.1</v>
      </c>
      <c r="E4" s="3">
        <v>245.55335120675622</v>
      </c>
      <c r="F4" s="3">
        <v>9166.7694229204681</v>
      </c>
      <c r="G4" s="3">
        <f>mec_corrig[[#This Row],[MOE (Mpa) (Dinâmico)]]/0.9</f>
        <v>10185.299358800519</v>
      </c>
    </row>
    <row r="5" spans="1:7" x14ac:dyDescent="0.3">
      <c r="A5" s="4" t="s">
        <v>49</v>
      </c>
      <c r="B5" s="3">
        <v>34.799999999999997</v>
      </c>
      <c r="C5" s="3">
        <v>88.95</v>
      </c>
      <c r="D5" s="3">
        <v>169.1</v>
      </c>
      <c r="E5" s="3">
        <v>509.30611113448219</v>
      </c>
      <c r="F5" s="3">
        <v>8692.9694179552862</v>
      </c>
      <c r="G5" s="3">
        <f>mec_corrig[[#This Row],[MOE (Mpa) (Dinâmico)]]/0.9</f>
        <v>9658.8549088392065</v>
      </c>
    </row>
    <row r="6" spans="1:7" x14ac:dyDescent="0.3">
      <c r="A6" s="4" t="s">
        <v>50</v>
      </c>
      <c r="B6" s="3">
        <v>35.44</v>
      </c>
      <c r="C6" s="3">
        <v>89.09</v>
      </c>
      <c r="D6" s="3">
        <v>169.1</v>
      </c>
      <c r="E6" s="3">
        <v>299.43309489629388</v>
      </c>
      <c r="F6" s="3">
        <v>9057.3093175262948</v>
      </c>
      <c r="G6" s="3">
        <f>mec_corrig[[#This Row],[MOE (Mpa) (Dinâmico)]]/0.9</f>
        <v>10063.67701947366</v>
      </c>
    </row>
    <row r="7" spans="1:7" x14ac:dyDescent="0.3">
      <c r="A7" s="4" t="s">
        <v>51</v>
      </c>
      <c r="B7" s="3">
        <v>34.86</v>
      </c>
      <c r="C7" s="3">
        <v>89.11</v>
      </c>
      <c r="D7" s="3">
        <v>169.1</v>
      </c>
      <c r="E7" s="3">
        <v>715.87808536230591</v>
      </c>
      <c r="F7" s="3">
        <v>11699.890025196131</v>
      </c>
      <c r="G7" s="3">
        <f>mec_corrig[[#This Row],[MOE (Mpa) (Dinâmico)]]/0.9</f>
        <v>12999.877805773478</v>
      </c>
    </row>
    <row r="8" spans="1:7" x14ac:dyDescent="0.3">
      <c r="A8" s="4" t="s">
        <v>52</v>
      </c>
      <c r="B8" s="3">
        <v>34.71</v>
      </c>
      <c r="C8" s="3">
        <v>89.11</v>
      </c>
      <c r="D8" s="3">
        <v>169.1</v>
      </c>
      <c r="E8" s="3">
        <v>486.39465292034561</v>
      </c>
      <c r="F8" s="3">
        <v>9441.8257755381183</v>
      </c>
      <c r="G8" s="3">
        <f>mec_corrig[[#This Row],[MOE (Mpa) (Dinâmico)]]/0.9</f>
        <v>10490.917528375687</v>
      </c>
    </row>
    <row r="9" spans="1:7" x14ac:dyDescent="0.3">
      <c r="A9" s="4" t="s">
        <v>53</v>
      </c>
      <c r="B9" s="3">
        <v>34.65</v>
      </c>
      <c r="C9" s="3">
        <v>88.95</v>
      </c>
      <c r="D9" s="3">
        <v>169.1</v>
      </c>
      <c r="E9" s="3">
        <v>122.97874463841096</v>
      </c>
      <c r="F9" s="3">
        <v>7231.9848042998192</v>
      </c>
      <c r="G9" s="3">
        <f>mec_corrig[[#This Row],[MOE (Mpa) (Dinâmico)]]/0.9</f>
        <v>8035.5386714442429</v>
      </c>
    </row>
    <row r="10" spans="1:7" x14ac:dyDescent="0.3">
      <c r="A10" s="4" t="s">
        <v>54</v>
      </c>
      <c r="B10" s="3">
        <v>34.94</v>
      </c>
      <c r="C10" s="3">
        <v>88.71</v>
      </c>
      <c r="D10" s="3">
        <v>169.1</v>
      </c>
      <c r="E10" s="3">
        <v>399.78422330138102</v>
      </c>
      <c r="F10" s="3">
        <v>6551.5596019153736</v>
      </c>
      <c r="G10" s="3">
        <f>mec_corrig[[#This Row],[MOE (Mpa) (Dinâmico)]]/0.9</f>
        <v>7279.5106687948592</v>
      </c>
    </row>
    <row r="11" spans="1:7" x14ac:dyDescent="0.3">
      <c r="A11" s="4" t="s">
        <v>55</v>
      </c>
      <c r="B11" s="3">
        <v>34.93</v>
      </c>
      <c r="C11" s="3">
        <v>89.18</v>
      </c>
      <c r="D11" s="3">
        <v>169.1</v>
      </c>
      <c r="E11" s="3">
        <v>323.9734617990099</v>
      </c>
      <c r="F11" s="3">
        <v>6871.6326199964333</v>
      </c>
      <c r="G11" s="3">
        <f>mec_corrig[[#This Row],[MOE (Mpa) (Dinâmico)]]/0.9</f>
        <v>7635.1473555515922</v>
      </c>
    </row>
    <row r="12" spans="1:7" x14ac:dyDescent="0.3">
      <c r="A12" s="4" t="s">
        <v>56</v>
      </c>
      <c r="B12" s="3">
        <v>34.76</v>
      </c>
      <c r="C12" s="3">
        <v>89.07</v>
      </c>
      <c r="D12" s="3">
        <v>169.1</v>
      </c>
      <c r="E12" s="3">
        <v>238.85299797812399</v>
      </c>
      <c r="F12" s="3">
        <v>5724.2422661866913</v>
      </c>
      <c r="G12" s="3">
        <f>mec_corrig[[#This Row],[MOE (Mpa) (Dinâmico)]]/0.9</f>
        <v>6360.2691846518792</v>
      </c>
    </row>
    <row r="13" spans="1:7" x14ac:dyDescent="0.3">
      <c r="A13" s="4" t="s">
        <v>57</v>
      </c>
      <c r="B13" s="3">
        <v>34.85</v>
      </c>
      <c r="C13" s="3">
        <v>89.09</v>
      </c>
      <c r="D13" s="3">
        <v>169.1</v>
      </c>
      <c r="E13" s="3">
        <v>416.54271319918774</v>
      </c>
      <c r="F13" s="3">
        <v>6532.0011993202152</v>
      </c>
      <c r="G13" s="3">
        <f>mec_corrig[[#This Row],[MOE (Mpa) (Dinâmico)]]/0.9</f>
        <v>7257.7791103557947</v>
      </c>
    </row>
    <row r="14" spans="1:7" x14ac:dyDescent="0.3">
      <c r="A14" s="4" t="s">
        <v>58</v>
      </c>
      <c r="B14" s="3">
        <v>34.520000000000003</v>
      </c>
      <c r="C14" s="3">
        <v>89.07</v>
      </c>
      <c r="D14" s="3">
        <v>169.1</v>
      </c>
      <c r="E14" s="3">
        <v>155.60957149763567</v>
      </c>
      <c r="F14" s="3">
        <v>9683.7043629769942</v>
      </c>
      <c r="G14" s="3">
        <f>mec_corrig[[#This Row],[MOE (Mpa) (Dinâmico)]]/0.9</f>
        <v>10759.671514418882</v>
      </c>
    </row>
    <row r="15" spans="1:7" x14ac:dyDescent="0.3">
      <c r="A15" s="4" t="s">
        <v>59</v>
      </c>
      <c r="B15" s="3">
        <v>34.68</v>
      </c>
      <c r="C15" s="3">
        <v>88.94</v>
      </c>
      <c r="D15" s="3">
        <v>169.1</v>
      </c>
      <c r="E15" s="3">
        <v>352.03839571844895</v>
      </c>
      <c r="F15" s="3">
        <v>6820.7866452142162</v>
      </c>
      <c r="G15" s="3">
        <f>mec_corrig[[#This Row],[MOE (Mpa) (Dinâmico)]]/0.9</f>
        <v>7578.6518280157952</v>
      </c>
    </row>
    <row r="16" spans="1:7" x14ac:dyDescent="0.3">
      <c r="A16" s="4" t="s">
        <v>60</v>
      </c>
      <c r="B16" s="3">
        <v>35</v>
      </c>
      <c r="C16" s="3">
        <v>88.91</v>
      </c>
      <c r="D16" s="3">
        <v>169.1</v>
      </c>
      <c r="E16" s="3">
        <v>404.11706267193136</v>
      </c>
      <c r="F16" s="3">
        <v>6155.0437383065482</v>
      </c>
      <c r="G16" s="3">
        <f>mec_corrig[[#This Row],[MOE (Mpa) (Dinâmico)]]/0.9</f>
        <v>6838.9374870072752</v>
      </c>
    </row>
    <row r="17" spans="7:7" x14ac:dyDescent="0.3">
      <c r="G17" s="30" t="s">
        <v>121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607E-CACA-4779-8FDD-70CB9DF8DC85}">
  <dimension ref="A1:N23"/>
  <sheetViews>
    <sheetView tabSelected="1" zoomScale="88" workbookViewId="0">
      <selection activeCell="J2" sqref="J2"/>
    </sheetView>
  </sheetViews>
  <sheetFormatPr defaultRowHeight="14.4" x14ac:dyDescent="0.3"/>
  <cols>
    <col min="1" max="1" width="9.6640625" bestFit="1" customWidth="1"/>
    <col min="2" max="2" width="18.6640625" bestFit="1" customWidth="1"/>
    <col min="3" max="3" width="25.88671875" bestFit="1" customWidth="1"/>
    <col min="4" max="4" width="16.6640625" customWidth="1"/>
    <col min="5" max="5" width="22.33203125" bestFit="1" customWidth="1"/>
    <col min="6" max="6" width="5.6640625" customWidth="1"/>
    <col min="7" max="7" width="16.5546875" bestFit="1" customWidth="1"/>
    <col min="8" max="8" width="11.5546875" customWidth="1"/>
    <col min="9" max="9" width="24.5546875" bestFit="1" customWidth="1"/>
    <col min="10" max="10" width="30" bestFit="1" customWidth="1"/>
    <col min="11" max="11" width="35.109375" bestFit="1" customWidth="1"/>
  </cols>
  <sheetData>
    <row r="1" spans="1:14" ht="15" thickBot="1" x14ac:dyDescent="0.35">
      <c r="A1" s="19" t="s">
        <v>79</v>
      </c>
      <c r="B1" s="20" t="s">
        <v>67</v>
      </c>
      <c r="C1" s="20" t="s">
        <v>68</v>
      </c>
      <c r="D1" s="20" t="s">
        <v>69</v>
      </c>
      <c r="E1" s="20" t="s">
        <v>88</v>
      </c>
      <c r="F1" s="20" t="s">
        <v>71</v>
      </c>
      <c r="G1" s="20" t="s">
        <v>72</v>
      </c>
      <c r="H1" s="20" t="s">
        <v>90</v>
      </c>
      <c r="I1" s="21" t="s">
        <v>7</v>
      </c>
      <c r="J1" s="21" t="s">
        <v>89</v>
      </c>
      <c r="K1" s="20" t="s">
        <v>92</v>
      </c>
      <c r="L1" s="20" t="s">
        <v>93</v>
      </c>
      <c r="M1" s="20" t="s">
        <v>91</v>
      </c>
      <c r="N1" s="8"/>
    </row>
    <row r="2" spans="1:14" x14ac:dyDescent="0.3">
      <c r="A2" s="15" t="s">
        <v>46</v>
      </c>
      <c r="B2" s="9">
        <v>34.04</v>
      </c>
      <c r="C2" s="9">
        <v>89.22</v>
      </c>
      <c r="D2" s="9">
        <v>242.45</v>
      </c>
      <c r="E2" s="9">
        <v>2.54</v>
      </c>
      <c r="F2" s="9">
        <v>24.24</v>
      </c>
      <c r="G2" s="9">
        <v>96.98</v>
      </c>
      <c r="H2" s="9">
        <v>3829.95</v>
      </c>
      <c r="I2" s="18">
        <f>(mec_rasc[[#This Row],[Em '[errada'] (MPa)]])*10.2</f>
        <v>39065.49</v>
      </c>
      <c r="J2" s="18">
        <f>(3*mec_rasc[[#This Row],[Max Force (kgf)]]*169.1)/(2*((mec_rasc[[#This Row],[Base do CP (mm)]])/10)*((mec_rasc[[#This Row],[Altura Média do CP (mm)]])/10)^2)</f>
        <v>226.95673019725979</v>
      </c>
      <c r="K2" s="26">
        <f>((mec_rasc[[#This Row],[fm '[corrigida'] (kgf/cm²)]])/10.2)*300</f>
        <v>6675.1979469782291</v>
      </c>
      <c r="L2" s="25">
        <f>mec_rasc[[#This Row],[fm '[corrigida'] (kgf/cm²)]]/10.2*mec_rasc[[#This Row],[FP]]</f>
        <v>9292.7483438159434</v>
      </c>
      <c r="M2" s="25">
        <f>ic25_[[#This Row],[MOE_din (Mpa)]]/(ic25_[[#This Row],[fm '[corrigida'] (kgf/cm²)]]/10.2)</f>
        <v>417.63922587595965</v>
      </c>
    </row>
    <row r="3" spans="1:14" x14ac:dyDescent="0.3">
      <c r="A3" s="16" t="s">
        <v>47</v>
      </c>
      <c r="B3" s="9">
        <v>35.119999999999997</v>
      </c>
      <c r="C3" s="9">
        <v>88.93</v>
      </c>
      <c r="D3" s="9">
        <v>596.95000000000005</v>
      </c>
      <c r="E3" s="9">
        <v>6.09</v>
      </c>
      <c r="F3" s="9">
        <v>59.7</v>
      </c>
      <c r="G3" s="9">
        <v>238.78</v>
      </c>
      <c r="H3" s="9">
        <v>3676.59</v>
      </c>
      <c r="I3" s="18">
        <f>(mec_rasc[[#This Row],[Em '[errada'] (MPa)]])*10.2</f>
        <v>37501.218000000001</v>
      </c>
      <c r="J3" s="18">
        <f>(3*mec_rasc[[#This Row],[Max Force (kgf)]]*169.1)/(2*((mec_rasc[[#This Row],[Base do CP (mm)]])/10)*((mec_rasc[[#This Row],[Altura Média do CP (mm)]])/10)^2)</f>
        <v>545.15717369994286</v>
      </c>
      <c r="K3" s="9">
        <f>((mec_rasc[[#This Row],[fm '[corrigida'] (kgf/cm²)]])/10.2)*300</f>
        <v>16034.034520586556</v>
      </c>
      <c r="L3" s="25">
        <f>mec_rasc[[#This Row],[fm '[corrigida'] (kgf/cm²)]]/10.2*mec_rasc[[#This Row],[FP]]</f>
        <v>8698.8179370434354</v>
      </c>
      <c r="M3" s="10">
        <f>ic25_[[#This Row],[MOE_din (Mpa)]]/(ic25_[[#This Row],[fm '[corrigida'] (kgf/cm²)]]/10.2)</f>
        <v>162.7566273330915</v>
      </c>
    </row>
    <row r="4" spans="1:14" x14ac:dyDescent="0.3">
      <c r="A4" s="15" t="s">
        <v>48</v>
      </c>
      <c r="B4" s="9">
        <v>34.93</v>
      </c>
      <c r="C4" s="9">
        <v>89.06</v>
      </c>
      <c r="D4" s="9">
        <v>268.20999999999998</v>
      </c>
      <c r="E4" s="9">
        <v>2.74</v>
      </c>
      <c r="F4" s="9">
        <v>26.82</v>
      </c>
      <c r="G4" s="9">
        <v>107.28</v>
      </c>
      <c r="H4" s="9">
        <v>3220.63</v>
      </c>
      <c r="I4" s="18">
        <f>(mec_rasc[[#This Row],[Em '[errada'] (MPa)]])*10.2</f>
        <v>32850.425999999999</v>
      </c>
      <c r="J4" s="18">
        <f>(3*mec_rasc[[#This Row],[Max Force (kgf)]]*169.1)/(2*((mec_rasc[[#This Row],[Base do CP (mm)]])/10)*((mec_rasc[[#This Row],[Altura Média do CP (mm)]])/10)^2)</f>
        <v>245.55335120675622</v>
      </c>
      <c r="K4" s="9">
        <f>((mec_rasc[[#This Row],[fm '[corrigida'] (kgf/cm²)]])/10.2)*300</f>
        <v>7222.1573884340078</v>
      </c>
      <c r="L4" s="25">
        <f>mec_rasc[[#This Row],[fm '[corrigida'] (kgf/cm²)]]/10.2*mec_rasc[[#This Row],[FP]]</f>
        <v>9166.7694229204681</v>
      </c>
      <c r="M4" s="10">
        <f>ic25_[[#This Row],[MOE_din (Mpa)]]/(ic25_[[#This Row],[fm '[corrigida'] (kgf/cm²)]]/10.2)</f>
        <v>380.7769173350062</v>
      </c>
    </row>
    <row r="5" spans="1:14" x14ac:dyDescent="0.3">
      <c r="A5" s="16" t="s">
        <v>49</v>
      </c>
      <c r="B5" s="9">
        <v>34.799999999999997</v>
      </c>
      <c r="C5" s="9">
        <v>88.95</v>
      </c>
      <c r="D5" s="9">
        <v>552.86</v>
      </c>
      <c r="E5" s="9">
        <v>5.69</v>
      </c>
      <c r="F5" s="9">
        <v>55.29</v>
      </c>
      <c r="G5" s="9">
        <v>221.14</v>
      </c>
      <c r="H5" s="9">
        <v>5254.93</v>
      </c>
      <c r="I5" s="18">
        <f>(mec_rasc[[#This Row],[Em '[errada'] (MPa)]])*10.2</f>
        <v>53600.286</v>
      </c>
      <c r="J5" s="18">
        <f>(3*mec_rasc[[#This Row],[Max Force (kgf)]]*169.1)/(2*((mec_rasc[[#This Row],[Base do CP (mm)]])/10)*((mec_rasc[[#This Row],[Altura Média do CP (mm)]])/10)^2)</f>
        <v>509.30611113448219</v>
      </c>
      <c r="K5" s="9">
        <f>((mec_rasc[[#This Row],[fm '[corrigida'] (kgf/cm²)]])/10.2)*300</f>
        <v>14979.59150395536</v>
      </c>
      <c r="L5" s="25">
        <f>mec_rasc[[#This Row],[fm '[corrigida'] (kgf/cm²)]]/10.2*mec_rasc[[#This Row],[FP]]</f>
        <v>8692.9694179552862</v>
      </c>
      <c r="M5" s="10">
        <f>ic25_[[#This Row],[MOE_din (Mpa)]]/(ic25_[[#This Row],[fm '[corrigida'] (kgf/cm²)]]/10.2)</f>
        <v>174.096257878459</v>
      </c>
    </row>
    <row r="6" spans="1:14" x14ac:dyDescent="0.3">
      <c r="A6" s="15" t="s">
        <v>50</v>
      </c>
      <c r="B6" s="9">
        <v>35.44</v>
      </c>
      <c r="C6" s="9">
        <v>89.09</v>
      </c>
      <c r="D6" s="9">
        <v>332.06</v>
      </c>
      <c r="E6" s="9">
        <v>3.35</v>
      </c>
      <c r="F6" s="9">
        <v>33.21</v>
      </c>
      <c r="G6" s="9">
        <v>132.83000000000001</v>
      </c>
      <c r="H6" s="9">
        <v>3622.22</v>
      </c>
      <c r="I6" s="18">
        <f>(mec_rasc[[#This Row],[Em '[errada'] (MPa)]])*10.2</f>
        <v>36946.643999999993</v>
      </c>
      <c r="J6" s="18">
        <f>(3*mec_rasc[[#This Row],[Max Force (kgf)]]*169.1)/(2*((mec_rasc[[#This Row],[Base do CP (mm)]])/10)*((mec_rasc[[#This Row],[Altura Média do CP (mm)]])/10)^2)</f>
        <v>299.43309489629388</v>
      </c>
      <c r="K6" s="9">
        <f>((mec_rasc[[#This Row],[fm '[corrigida'] (kgf/cm²)]])/10.2)*300</f>
        <v>8806.8557322439374</v>
      </c>
      <c r="L6" s="25">
        <f>mec_rasc[[#This Row],[fm '[corrigida'] (kgf/cm²)]]/10.2*mec_rasc[[#This Row],[FP]]</f>
        <v>9057.3093175262948</v>
      </c>
      <c r="M6" s="10">
        <f>ic25_[[#This Row],[MOE_din (Mpa)]]/(ic25_[[#This Row],[fm '[corrigida'] (kgf/cm²)]]/10.2)</f>
        <v>308.53154381871121</v>
      </c>
    </row>
    <row r="7" spans="1:14" x14ac:dyDescent="0.3">
      <c r="A7" s="16" t="s">
        <v>51</v>
      </c>
      <c r="B7" s="9">
        <v>34.86</v>
      </c>
      <c r="C7" s="9">
        <v>89.11</v>
      </c>
      <c r="D7" s="9">
        <v>781.24</v>
      </c>
      <c r="E7" s="9">
        <v>8</v>
      </c>
      <c r="F7" s="9">
        <v>78.12</v>
      </c>
      <c r="G7" s="9">
        <v>312.5</v>
      </c>
      <c r="H7" s="9">
        <v>4231.29</v>
      </c>
      <c r="I7" s="18">
        <f>(mec_rasc[[#This Row],[Em '[errada'] (MPa)]])*10.2</f>
        <v>43159.157999999996</v>
      </c>
      <c r="J7" s="18">
        <f>(3*mec_rasc[[#This Row],[Max Force (kgf)]]*169.1)/(2*((mec_rasc[[#This Row],[Base do CP (mm)]])/10)*((mec_rasc[[#This Row],[Altura Média do CP (mm)]])/10)^2)</f>
        <v>715.87808536230591</v>
      </c>
      <c r="K7" s="9">
        <f>((mec_rasc[[#This Row],[fm '[corrigida'] (kgf/cm²)]])/10.2)*300</f>
        <v>21055.237804773707</v>
      </c>
      <c r="L7" s="25">
        <f>mec_rasc[[#This Row],[fm '[corrigida'] (kgf/cm²)]]/10.2*mec_rasc[[#This Row],[FP]]</f>
        <v>11699.890025196131</v>
      </c>
      <c r="M7" s="10">
        <f>ic25_[[#This Row],[MOE_din (Mpa)]]/(ic25_[[#This Row],[fm '[corrigida'] (kgf/cm²)]]/10.2)</f>
        <v>166.70279576529168</v>
      </c>
    </row>
    <row r="8" spans="1:14" x14ac:dyDescent="0.3">
      <c r="A8" s="15" t="s">
        <v>52</v>
      </c>
      <c r="B8" s="9">
        <v>34.71</v>
      </c>
      <c r="C8" s="9">
        <v>89.11</v>
      </c>
      <c r="D8" s="9">
        <v>528.52</v>
      </c>
      <c r="E8" s="9">
        <v>5.44</v>
      </c>
      <c r="F8" s="9">
        <v>52.85</v>
      </c>
      <c r="G8" s="9">
        <v>211.41</v>
      </c>
      <c r="H8" s="9">
        <v>3097.46</v>
      </c>
      <c r="I8" s="18">
        <f>(mec_rasc[[#This Row],[Em '[errada'] (MPa)]])*10.2</f>
        <v>31594.091999999997</v>
      </c>
      <c r="J8" s="18">
        <f>(3*mec_rasc[[#This Row],[Max Force (kgf)]]*169.1)/(2*((mec_rasc[[#This Row],[Base do CP (mm)]])/10)*((mec_rasc[[#This Row],[Altura Média do CP (mm)]])/10)^2)</f>
        <v>486.39465292034561</v>
      </c>
      <c r="K8" s="9">
        <f>((mec_rasc[[#This Row],[fm '[corrigida'] (kgf/cm²)]])/10.2)*300</f>
        <v>14305.72508589252</v>
      </c>
      <c r="L8" s="25">
        <f>mec_rasc[[#This Row],[fm '[corrigida'] (kgf/cm²)]]/10.2*mec_rasc[[#This Row],[FP]]</f>
        <v>9441.8257755381183</v>
      </c>
      <c r="M8" s="10">
        <f>ic25_[[#This Row],[MOE_din (Mpa)]]/(ic25_[[#This Row],[fm '[corrigida'] (kgf/cm²)]]/10.2)</f>
        <v>198.00099020878926</v>
      </c>
    </row>
    <row r="9" spans="1:14" x14ac:dyDescent="0.3">
      <c r="A9" s="16" t="s">
        <v>53</v>
      </c>
      <c r="B9" s="9">
        <v>34.65</v>
      </c>
      <c r="C9" s="9">
        <v>88.95</v>
      </c>
      <c r="D9" s="9">
        <v>132.91999999999999</v>
      </c>
      <c r="E9" s="9">
        <v>1.37</v>
      </c>
      <c r="F9" s="9">
        <v>13.29</v>
      </c>
      <c r="G9" s="9">
        <v>53.17</v>
      </c>
      <c r="H9" s="9">
        <v>3399.27</v>
      </c>
      <c r="I9" s="18">
        <f>(mec_rasc[[#This Row],[Em '[errada'] (MPa)]])*10.2</f>
        <v>34672.553999999996</v>
      </c>
      <c r="J9" s="18">
        <f>(3*mec_rasc[[#This Row],[Max Force (kgf)]]*169.1)/(2*((mec_rasc[[#This Row],[Base do CP (mm)]])/10)*((mec_rasc[[#This Row],[Altura Média do CP (mm)]])/10)^2)</f>
        <v>122.97874463841096</v>
      </c>
      <c r="K9" s="9">
        <f>((mec_rasc[[#This Row],[fm '[corrigida'] (kgf/cm²)]])/10.2)*300</f>
        <v>3617.0219011297345</v>
      </c>
      <c r="L9" s="25">
        <f>mec_rasc[[#This Row],[fm '[corrigida'] (kgf/cm²)]]/10.2*mec_rasc[[#This Row],[FP]]</f>
        <v>7231.9848042998192</v>
      </c>
      <c r="M9" s="10">
        <f>ic25_[[#This Row],[MOE_din (Mpa)]]/(ic25_[[#This Row],[fm '[corrigida'] (kgf/cm²)]]/10.2)</f>
        <v>599.82922431636314</v>
      </c>
    </row>
    <row r="10" spans="1:14" x14ac:dyDescent="0.3">
      <c r="A10" s="15" t="s">
        <v>54</v>
      </c>
      <c r="B10" s="9">
        <v>34.94</v>
      </c>
      <c r="C10" s="9">
        <v>88.71</v>
      </c>
      <c r="D10" s="9">
        <v>433.37</v>
      </c>
      <c r="E10" s="9">
        <v>4.47</v>
      </c>
      <c r="F10" s="9">
        <v>43.34</v>
      </c>
      <c r="G10" s="9">
        <v>173.35</v>
      </c>
      <c r="H10" s="9">
        <v>4555.95</v>
      </c>
      <c r="I10" s="18">
        <f>(mec_rasc[[#This Row],[Em '[errada'] (MPa)]])*10.2</f>
        <v>46470.689999999995</v>
      </c>
      <c r="J10" s="18">
        <f>(3*mec_rasc[[#This Row],[Max Force (kgf)]]*169.1)/(2*((mec_rasc[[#This Row],[Base do CP (mm)]])/10)*((mec_rasc[[#This Row],[Altura Média do CP (mm)]])/10)^2)</f>
        <v>399.78422330138102</v>
      </c>
      <c r="K10" s="9">
        <f>((mec_rasc[[#This Row],[fm '[corrigida'] (kgf/cm²)]])/10.2)*300</f>
        <v>11758.359508864149</v>
      </c>
      <c r="L10" s="25">
        <f>mec_rasc[[#This Row],[fm '[corrigida'] (kgf/cm²)]]/10.2*mec_rasc[[#This Row],[FP]]</f>
        <v>6551.5596019153736</v>
      </c>
      <c r="M10" s="10">
        <f>ic25_[[#This Row],[MOE_din (Mpa)]]/(ic25_[[#This Row],[fm '[corrigida'] (kgf/cm²)]]/10.2)</f>
        <v>167.15494020172846</v>
      </c>
    </row>
    <row r="11" spans="1:14" x14ac:dyDescent="0.3">
      <c r="A11" s="16" t="s">
        <v>55</v>
      </c>
      <c r="B11" s="9">
        <v>34.93</v>
      </c>
      <c r="C11" s="9">
        <v>89.18</v>
      </c>
      <c r="D11" s="9">
        <v>354.82</v>
      </c>
      <c r="E11" s="9">
        <v>3.62</v>
      </c>
      <c r="F11" s="9">
        <v>35.479999999999997</v>
      </c>
      <c r="G11" s="9">
        <v>141.93</v>
      </c>
      <c r="H11" s="9">
        <v>5748.24</v>
      </c>
      <c r="I11" s="18">
        <f>(mec_rasc[[#This Row],[Em '[errada'] (MPa)]])*10.2</f>
        <v>58632.047999999995</v>
      </c>
      <c r="J11" s="18">
        <f>(3*mec_rasc[[#This Row],[Max Force (kgf)]]*169.1)/(2*((mec_rasc[[#This Row],[Base do CP (mm)]])/10)*((mec_rasc[[#This Row],[Altura Média do CP (mm)]])/10)^2)</f>
        <v>323.9734617990099</v>
      </c>
      <c r="K11" s="9">
        <f>((mec_rasc[[#This Row],[fm '[corrigida'] (kgf/cm²)]])/10.2)*300</f>
        <v>9528.631229382645</v>
      </c>
      <c r="L11" s="25">
        <f>mec_rasc[[#This Row],[fm '[corrigida'] (kgf/cm²)]]/10.2*mec_rasc[[#This Row],[FP]]</f>
        <v>6871.6326199964333</v>
      </c>
      <c r="M11" s="10">
        <f>ic25_[[#This Row],[MOE_din (Mpa)]]/(ic25_[[#This Row],[fm '[corrigida'] (kgf/cm²)]]/10.2)</f>
        <v>216.34689562149137</v>
      </c>
    </row>
    <row r="12" spans="1:14" x14ac:dyDescent="0.3">
      <c r="A12" s="15" t="s">
        <v>56</v>
      </c>
      <c r="B12" s="9">
        <v>34.76</v>
      </c>
      <c r="C12" s="9">
        <v>89.07</v>
      </c>
      <c r="D12" s="9">
        <v>259.68</v>
      </c>
      <c r="E12" s="9">
        <v>2.67</v>
      </c>
      <c r="F12" s="9">
        <v>25.97</v>
      </c>
      <c r="G12" s="9">
        <v>103.87</v>
      </c>
      <c r="H12" s="9">
        <v>2823.73</v>
      </c>
      <c r="I12" s="18">
        <f>(mec_rasc[[#This Row],[Em '[errada'] (MPa)]])*10.2</f>
        <v>28802.045999999998</v>
      </c>
      <c r="J12" s="18">
        <f>(3*mec_rasc[[#This Row],[Max Force (kgf)]]*169.1)/(2*((mec_rasc[[#This Row],[Base do CP (mm)]])/10)*((mec_rasc[[#This Row],[Altura Média do CP (mm)]])/10)^2)</f>
        <v>238.85299797812399</v>
      </c>
      <c r="K12" s="9">
        <f>((mec_rasc[[#This Row],[fm '[corrigida'] (kgf/cm²)]])/10.2)*300</f>
        <v>7025.0881758271771</v>
      </c>
      <c r="L12" s="25">
        <f>mec_rasc[[#This Row],[fm '[corrigida'] (kgf/cm²)]]/10.2*mec_rasc[[#This Row],[FP]]</f>
        <v>5724.2422661866913</v>
      </c>
      <c r="M12" s="10">
        <f>ic25_[[#This Row],[MOE_din (Mpa)]]/(ic25_[[#This Row],[fm '[corrigida'] (kgf/cm²)]]/10.2)</f>
        <v>244.44855877610465</v>
      </c>
    </row>
    <row r="13" spans="1:14" x14ac:dyDescent="0.3">
      <c r="A13" s="16" t="s">
        <v>57</v>
      </c>
      <c r="B13" s="9">
        <v>34.85</v>
      </c>
      <c r="C13" s="9">
        <v>89.09</v>
      </c>
      <c r="D13" s="9">
        <v>454.24</v>
      </c>
      <c r="E13" s="9">
        <v>4.66</v>
      </c>
      <c r="F13" s="9">
        <v>45.42</v>
      </c>
      <c r="G13" s="9">
        <v>181.69</v>
      </c>
      <c r="H13" s="9">
        <v>3295.83</v>
      </c>
      <c r="I13" s="18">
        <f>(mec_rasc[[#This Row],[Em '[errada'] (MPa)]])*10.2</f>
        <v>33617.466</v>
      </c>
      <c r="J13" s="18">
        <f>(3*mec_rasc[[#This Row],[Max Force (kgf)]]*169.1)/(2*((mec_rasc[[#This Row],[Base do CP (mm)]])/10)*((mec_rasc[[#This Row],[Altura Média do CP (mm)]])/10)^2)</f>
        <v>416.54271319918774</v>
      </c>
      <c r="K13" s="9">
        <f>((mec_rasc[[#This Row],[fm '[corrigida'] (kgf/cm²)]])/10.2)*300</f>
        <v>12251.256270564347</v>
      </c>
      <c r="L13" s="25">
        <f>mec_rasc[[#This Row],[fm '[corrigida'] (kgf/cm²)]]/10.2*mec_rasc[[#This Row],[FP]]</f>
        <v>6532.0011993202152</v>
      </c>
      <c r="M13" s="10">
        <f>ic25_[[#This Row],[MOE_din (Mpa)]]/(ic25_[[#This Row],[fm '[corrigida'] (kgf/cm²)]]/10.2)</f>
        <v>159.95097290588279</v>
      </c>
    </row>
    <row r="14" spans="1:14" x14ac:dyDescent="0.3">
      <c r="A14" s="15" t="s">
        <v>58</v>
      </c>
      <c r="B14" s="9">
        <v>34.520000000000003</v>
      </c>
      <c r="C14" s="9">
        <v>89.07</v>
      </c>
      <c r="D14" s="9">
        <v>168.01</v>
      </c>
      <c r="E14" s="9">
        <v>1.74</v>
      </c>
      <c r="F14" s="9">
        <v>16.8</v>
      </c>
      <c r="G14" s="9">
        <v>67.2</v>
      </c>
      <c r="H14" s="9">
        <v>3875.93</v>
      </c>
      <c r="I14" s="18">
        <f>(mec_rasc[[#This Row],[Em '[errada'] (MPa)]])*10.2</f>
        <v>39534.485999999997</v>
      </c>
      <c r="J14" s="18">
        <f>(3*mec_rasc[[#This Row],[Max Force (kgf)]]*169.1)/(2*((mec_rasc[[#This Row],[Base do CP (mm)]])/10)*((mec_rasc[[#This Row],[Altura Média do CP (mm)]])/10)^2)</f>
        <v>155.60957149763567</v>
      </c>
      <c r="K14" s="9">
        <f>((mec_rasc[[#This Row],[fm '[corrigida'] (kgf/cm²)]])/10.2)*300</f>
        <v>4576.7521028716383</v>
      </c>
      <c r="L14" s="25">
        <f>mec_rasc[[#This Row],[fm '[corrigida'] (kgf/cm²)]]/10.2*mec_rasc[[#This Row],[FP]]</f>
        <v>9683.7043629769942</v>
      </c>
      <c r="M14" s="10">
        <f>ic25_[[#This Row],[MOE_din (Mpa)]]/(ic25_[[#This Row],[fm '[corrigida'] (kgf/cm²)]]/10.2)</f>
        <v>634.7539136039976</v>
      </c>
    </row>
    <row r="15" spans="1:14" x14ac:dyDescent="0.3">
      <c r="A15" s="16" t="s">
        <v>59</v>
      </c>
      <c r="B15" s="9">
        <v>34.68</v>
      </c>
      <c r="C15" s="9">
        <v>88.94</v>
      </c>
      <c r="D15" s="9">
        <v>380.74</v>
      </c>
      <c r="E15" s="9">
        <v>3.93</v>
      </c>
      <c r="F15" s="9">
        <v>38.07</v>
      </c>
      <c r="G15" s="9">
        <v>152.30000000000001</v>
      </c>
      <c r="H15" s="9">
        <v>3448.97</v>
      </c>
      <c r="I15" s="18">
        <f>(mec_rasc[[#This Row],[Em '[errada'] (MPa)]])*10.2</f>
        <v>35179.493999999999</v>
      </c>
      <c r="J15" s="18">
        <f>(3*mec_rasc[[#This Row],[Max Force (kgf)]]*169.1)/(2*((mec_rasc[[#This Row],[Base do CP (mm)]])/10)*((mec_rasc[[#This Row],[Altura Média do CP (mm)]])/10)^2)</f>
        <v>352.03839571844895</v>
      </c>
      <c r="K15" s="9">
        <f>((mec_rasc[[#This Row],[fm '[corrigida'] (kgf/cm²)]])/10.2)*300</f>
        <v>10354.070462307323</v>
      </c>
      <c r="L15" s="25">
        <f>mec_rasc[[#This Row],[fm '[corrigida'] (kgf/cm²)]]/10.2*mec_rasc[[#This Row],[FP]]</f>
        <v>6820.7866452142162</v>
      </c>
      <c r="M15" s="10">
        <f>ic25_[[#This Row],[MOE_din (Mpa)]]/(ic25_[[#This Row],[fm '[corrigida'] (kgf/cm²)]]/10.2)</f>
        <v>197.62623801077331</v>
      </c>
    </row>
    <row r="16" spans="1:14" x14ac:dyDescent="0.3">
      <c r="A16" s="15" t="s">
        <v>60</v>
      </c>
      <c r="B16" s="9">
        <v>35</v>
      </c>
      <c r="C16" s="9">
        <v>88.91</v>
      </c>
      <c r="D16" s="9">
        <v>440.8</v>
      </c>
      <c r="E16" s="9">
        <v>4.5199999999999996</v>
      </c>
      <c r="F16" s="9">
        <v>44.08</v>
      </c>
      <c r="G16" s="9">
        <v>176.32</v>
      </c>
      <c r="H16" s="9">
        <v>4228.1899999999996</v>
      </c>
      <c r="I16" s="18">
        <f>(mec_rasc[[#This Row],[Em '[errada'] (MPa)]])*10.2</f>
        <v>43127.537999999993</v>
      </c>
      <c r="J16" s="18">
        <f>(3*mec_rasc[[#This Row],[Max Force (kgf)]]*169.1)/(2*((mec_rasc[[#This Row],[Base do CP (mm)]])/10)*((mec_rasc[[#This Row],[Altura Média do CP (mm)]])/10)^2)</f>
        <v>404.11706267193136</v>
      </c>
      <c r="K16" s="9">
        <f>((mec_rasc[[#This Row],[fm '[corrigida'] (kgf/cm²)]])/10.2)*300</f>
        <v>11885.795960939158</v>
      </c>
      <c r="L16" s="25">
        <f>mec_rasc[[#This Row],[fm '[corrigida'] (kgf/cm²)]]/10.2*mec_rasc[[#This Row],[FP]]</f>
        <v>6155.0437383065482</v>
      </c>
      <c r="M16" s="10">
        <f>ic25_[[#This Row],[MOE_din (Mpa)]]/(ic25_[[#This Row],[fm '[corrigida'] (kgf/cm²)]]/10.2)</f>
        <v>155.35460372702391</v>
      </c>
    </row>
    <row r="17" spans="1:13" x14ac:dyDescent="0.3">
      <c r="A17" s="17" t="s">
        <v>74</v>
      </c>
      <c r="B17" s="10">
        <v>15</v>
      </c>
      <c r="C17" s="10">
        <v>15</v>
      </c>
      <c r="D17" s="10">
        <v>15</v>
      </c>
      <c r="E17" s="10">
        <v>15</v>
      </c>
      <c r="F17" s="10">
        <v>15</v>
      </c>
      <c r="G17" s="10">
        <v>15</v>
      </c>
      <c r="H17" s="10">
        <v>15</v>
      </c>
      <c r="I17" s="31">
        <f>(mec_rasc[[#This Row],[Em '[errada'] (MPa)]])*10.2</f>
        <v>153</v>
      </c>
      <c r="J17" s="18"/>
      <c r="K17" s="9"/>
      <c r="L17" s="10"/>
      <c r="M17" s="10"/>
    </row>
    <row r="18" spans="1:13" x14ac:dyDescent="0.3">
      <c r="A18" s="17" t="s">
        <v>75</v>
      </c>
      <c r="B18" s="10">
        <v>34.82</v>
      </c>
      <c r="C18" s="10">
        <v>89.03</v>
      </c>
      <c r="D18" s="10">
        <v>395.1</v>
      </c>
      <c r="E18" s="10">
        <v>4.0549999999999997</v>
      </c>
      <c r="F18" s="10">
        <v>39.51</v>
      </c>
      <c r="G18" s="10">
        <v>158</v>
      </c>
      <c r="H18" s="10">
        <v>3887</v>
      </c>
      <c r="I18" s="31">
        <f>(mec_rasc[[#This Row],[Em '[errada'] (MPa)]])*10.2</f>
        <v>39647.399999999994</v>
      </c>
      <c r="J18" s="18"/>
      <c r="K18" s="9"/>
      <c r="L18" s="10"/>
      <c r="M18" s="10"/>
    </row>
    <row r="19" spans="1:13" x14ac:dyDescent="0.3">
      <c r="A19" s="17" t="s">
        <v>76</v>
      </c>
      <c r="B19" s="10">
        <v>0.30599999999999999</v>
      </c>
      <c r="C19" s="10">
        <v>0.12820000000000001</v>
      </c>
      <c r="D19" s="10">
        <v>173.9</v>
      </c>
      <c r="E19" s="10">
        <v>1.778</v>
      </c>
      <c r="F19" s="10">
        <v>17.39</v>
      </c>
      <c r="G19" s="10">
        <v>69.569999999999993</v>
      </c>
      <c r="H19" s="10">
        <v>806.8</v>
      </c>
      <c r="I19" s="31">
        <f>(mec_rasc[[#This Row],[Em '[errada'] (MPa)]])*10.2</f>
        <v>8229.3599999999988</v>
      </c>
      <c r="J19" s="18"/>
      <c r="K19" s="9"/>
      <c r="L19" s="10"/>
      <c r="M19" s="10"/>
    </row>
    <row r="20" spans="1:13" x14ac:dyDescent="0.3">
      <c r="A20" s="17" t="s">
        <v>77</v>
      </c>
      <c r="B20" s="10">
        <v>34.04</v>
      </c>
      <c r="C20" s="10">
        <v>88.71</v>
      </c>
      <c r="D20" s="10">
        <v>132.9</v>
      </c>
      <c r="E20" s="10">
        <v>1.375</v>
      </c>
      <c r="F20" s="10">
        <v>13.29</v>
      </c>
      <c r="G20" s="10">
        <v>53.17</v>
      </c>
      <c r="H20" s="10">
        <v>2824</v>
      </c>
      <c r="I20" s="31">
        <f>(mec_rasc[[#This Row],[Em '[errada'] (MPa)]])*10.2</f>
        <v>28804.799999999999</v>
      </c>
      <c r="J20" s="18"/>
      <c r="K20" s="9"/>
      <c r="L20" s="10"/>
      <c r="M20" s="10"/>
    </row>
    <row r="21" spans="1:13" x14ac:dyDescent="0.3">
      <c r="A21" s="22" t="s">
        <v>78</v>
      </c>
      <c r="B21" s="23">
        <v>35.44</v>
      </c>
      <c r="C21" s="23">
        <v>89.22</v>
      </c>
      <c r="D21" s="23">
        <v>781.2</v>
      </c>
      <c r="E21" s="23">
        <v>8.0009999999999994</v>
      </c>
      <c r="F21" s="23">
        <v>78.12</v>
      </c>
      <c r="G21" s="23">
        <v>312.5</v>
      </c>
      <c r="H21" s="23">
        <v>5748</v>
      </c>
      <c r="I21" s="32">
        <f>(mec_rasc[[#This Row],[Em '[errada'] (MPa)]])*10.2</f>
        <v>58629.599999999999</v>
      </c>
      <c r="J21" s="18"/>
      <c r="K21" s="27"/>
      <c r="L21" s="23"/>
      <c r="M21" s="23"/>
    </row>
    <row r="22" spans="1:13" x14ac:dyDescent="0.3">
      <c r="A22" s="4" t="s">
        <v>122</v>
      </c>
    </row>
    <row r="23" spans="1:13" x14ac:dyDescent="0.3">
      <c r="A23" s="4" t="s">
        <v>123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A8E5C-B90D-4125-8F78-DEF91FBF44B9}">
  <dimension ref="A1:K21"/>
  <sheetViews>
    <sheetView zoomScaleNormal="100" workbookViewId="0">
      <selection activeCell="D11" sqref="D11"/>
    </sheetView>
  </sheetViews>
  <sheetFormatPr defaultRowHeight="14.4" x14ac:dyDescent="0.3"/>
  <cols>
    <col min="1" max="1" width="9.6640625" bestFit="1" customWidth="1"/>
    <col min="2" max="2" width="16.44140625" bestFit="1" customWidth="1"/>
    <col min="3" max="3" width="23.5546875" bestFit="1" customWidth="1"/>
    <col min="4" max="4" width="13.5546875" bestFit="1" customWidth="1"/>
    <col min="5" max="5" width="11.33203125" bestFit="1" customWidth="1"/>
    <col min="6" max="7" width="13.44140625" bestFit="1" customWidth="1"/>
  </cols>
  <sheetData>
    <row r="1" spans="1:11" ht="15" thickBot="1" x14ac:dyDescent="0.35">
      <c r="A1" s="8" t="s">
        <v>79</v>
      </c>
      <c r="B1" s="8" t="s">
        <v>67</v>
      </c>
      <c r="C1" s="8" t="s">
        <v>68</v>
      </c>
      <c r="D1" s="8" t="s">
        <v>69</v>
      </c>
      <c r="E1" s="8" t="s">
        <v>70</v>
      </c>
      <c r="F1" s="8" t="s">
        <v>71</v>
      </c>
      <c r="G1" s="8" t="s">
        <v>72</v>
      </c>
      <c r="H1" s="8" t="s">
        <v>73</v>
      </c>
      <c r="I1" s="8"/>
      <c r="J1" s="8"/>
      <c r="K1" s="8"/>
    </row>
    <row r="2" spans="1:11" x14ac:dyDescent="0.3">
      <c r="A2" s="11" t="s">
        <v>46</v>
      </c>
      <c r="B2" s="9">
        <v>34.04</v>
      </c>
      <c r="C2" s="9">
        <v>89.22</v>
      </c>
      <c r="D2" s="9">
        <v>242.45</v>
      </c>
      <c r="E2" s="9">
        <v>2.54</v>
      </c>
      <c r="F2" s="9">
        <v>24.24</v>
      </c>
      <c r="G2" s="9">
        <v>96.98</v>
      </c>
      <c r="H2" s="9">
        <v>3829.95</v>
      </c>
    </row>
    <row r="3" spans="1:11" x14ac:dyDescent="0.3">
      <c r="A3" s="12" t="s">
        <v>47</v>
      </c>
      <c r="B3" s="9">
        <v>35.119999999999997</v>
      </c>
      <c r="C3" s="9">
        <v>88.93</v>
      </c>
      <c r="D3" s="9">
        <v>596.95000000000005</v>
      </c>
      <c r="E3" s="9">
        <v>6.09</v>
      </c>
      <c r="F3" s="9">
        <v>59.7</v>
      </c>
      <c r="G3" s="9">
        <v>238.78</v>
      </c>
      <c r="H3" s="9">
        <v>3676.59</v>
      </c>
    </row>
    <row r="4" spans="1:11" x14ac:dyDescent="0.3">
      <c r="A4" s="11" t="s">
        <v>48</v>
      </c>
      <c r="B4" s="9">
        <v>34.93</v>
      </c>
      <c r="C4" s="9">
        <v>89.06</v>
      </c>
      <c r="D4" s="9">
        <v>268.20999999999998</v>
      </c>
      <c r="E4" s="9">
        <v>2.74</v>
      </c>
      <c r="F4" s="9">
        <v>26.82</v>
      </c>
      <c r="G4" s="9">
        <v>107.28</v>
      </c>
      <c r="H4" s="9">
        <v>3220.63</v>
      </c>
    </row>
    <row r="5" spans="1:11" x14ac:dyDescent="0.3">
      <c r="A5" s="12" t="s">
        <v>49</v>
      </c>
      <c r="B5" s="9">
        <v>34.799999999999997</v>
      </c>
      <c r="C5" s="9">
        <v>88.95</v>
      </c>
      <c r="D5" s="9">
        <v>552.86</v>
      </c>
      <c r="E5" s="9">
        <v>5.69</v>
      </c>
      <c r="F5" s="9">
        <v>55.29</v>
      </c>
      <c r="G5" s="9">
        <v>221.14</v>
      </c>
      <c r="H5" s="9">
        <v>5254.93</v>
      </c>
    </row>
    <row r="6" spans="1:11" x14ac:dyDescent="0.3">
      <c r="A6" s="11" t="s">
        <v>50</v>
      </c>
      <c r="B6" s="9">
        <v>35.44</v>
      </c>
      <c r="C6" s="9">
        <v>89.09</v>
      </c>
      <c r="D6" s="9">
        <v>332.06</v>
      </c>
      <c r="E6" s="9">
        <v>3.35</v>
      </c>
      <c r="F6" s="9">
        <v>33.21</v>
      </c>
      <c r="G6" s="9">
        <v>132.83000000000001</v>
      </c>
      <c r="H6" s="9">
        <v>3622.22</v>
      </c>
    </row>
    <row r="7" spans="1:11" x14ac:dyDescent="0.3">
      <c r="A7" s="12" t="s">
        <v>51</v>
      </c>
      <c r="B7" s="9">
        <v>34.86</v>
      </c>
      <c r="C7" s="9">
        <v>89.11</v>
      </c>
      <c r="D7" s="9">
        <v>781.24</v>
      </c>
      <c r="E7" s="9">
        <v>8</v>
      </c>
      <c r="F7" s="9">
        <v>78.12</v>
      </c>
      <c r="G7" s="9">
        <v>312.5</v>
      </c>
      <c r="H7" s="9">
        <v>4231.29</v>
      </c>
    </row>
    <row r="8" spans="1:11" x14ac:dyDescent="0.3">
      <c r="A8" s="11" t="s">
        <v>52</v>
      </c>
      <c r="B8" s="9">
        <v>34.71</v>
      </c>
      <c r="C8" s="9">
        <v>89.11</v>
      </c>
      <c r="D8" s="9">
        <v>528.52</v>
      </c>
      <c r="E8" s="9">
        <v>5.44</v>
      </c>
      <c r="F8" s="9">
        <v>52.85</v>
      </c>
      <c r="G8" s="9">
        <v>211.41</v>
      </c>
      <c r="H8" s="9">
        <v>3097.46</v>
      </c>
    </row>
    <row r="9" spans="1:11" x14ac:dyDescent="0.3">
      <c r="A9" s="12" t="s">
        <v>53</v>
      </c>
      <c r="B9" s="9">
        <v>34.65</v>
      </c>
      <c r="C9" s="9">
        <v>88.95</v>
      </c>
      <c r="D9" s="9">
        <v>132.91999999999999</v>
      </c>
      <c r="E9" s="9">
        <v>1.37</v>
      </c>
      <c r="F9" s="9">
        <v>13.29</v>
      </c>
      <c r="G9" s="9">
        <v>53.17</v>
      </c>
      <c r="H9" s="9">
        <v>3399.27</v>
      </c>
    </row>
    <row r="10" spans="1:11" x14ac:dyDescent="0.3">
      <c r="A10" s="11" t="s">
        <v>54</v>
      </c>
      <c r="B10" s="9">
        <v>34.94</v>
      </c>
      <c r="C10" s="9">
        <v>88.71</v>
      </c>
      <c r="D10" s="9">
        <v>433.37</v>
      </c>
      <c r="E10" s="9">
        <v>4.47</v>
      </c>
      <c r="F10" s="9">
        <v>43.34</v>
      </c>
      <c r="G10" s="9">
        <v>173.35</v>
      </c>
      <c r="H10" s="9">
        <v>4555.95</v>
      </c>
    </row>
    <row r="11" spans="1:11" x14ac:dyDescent="0.3">
      <c r="A11" s="12" t="s">
        <v>55</v>
      </c>
      <c r="B11" s="9">
        <v>34.93</v>
      </c>
      <c r="C11" s="9">
        <v>89.18</v>
      </c>
      <c r="D11" s="9">
        <v>354.82</v>
      </c>
      <c r="E11" s="9">
        <v>3.62</v>
      </c>
      <c r="F11" s="9">
        <v>35.479999999999997</v>
      </c>
      <c r="G11" s="9">
        <v>141.93</v>
      </c>
      <c r="H11" s="9">
        <v>5748.24</v>
      </c>
    </row>
    <row r="12" spans="1:11" x14ac:dyDescent="0.3">
      <c r="A12" s="11" t="s">
        <v>56</v>
      </c>
      <c r="B12" s="9">
        <v>34.76</v>
      </c>
      <c r="C12" s="9">
        <v>89.07</v>
      </c>
      <c r="D12" s="9">
        <v>259.68</v>
      </c>
      <c r="E12" s="9">
        <v>2.67</v>
      </c>
      <c r="F12" s="9">
        <v>25.97</v>
      </c>
      <c r="G12" s="9">
        <v>103.87</v>
      </c>
      <c r="H12" s="9">
        <v>2823.73</v>
      </c>
    </row>
    <row r="13" spans="1:11" x14ac:dyDescent="0.3">
      <c r="A13" s="12" t="s">
        <v>57</v>
      </c>
      <c r="B13" s="9">
        <v>34.85</v>
      </c>
      <c r="C13" s="9">
        <v>89.09</v>
      </c>
      <c r="D13" s="9">
        <v>454.24</v>
      </c>
      <c r="E13" s="9">
        <v>4.66</v>
      </c>
      <c r="F13" s="9">
        <v>45.42</v>
      </c>
      <c r="G13" s="9">
        <v>181.69</v>
      </c>
      <c r="H13" s="9">
        <v>3295.83</v>
      </c>
    </row>
    <row r="14" spans="1:11" x14ac:dyDescent="0.3">
      <c r="A14" s="11" t="s">
        <v>58</v>
      </c>
      <c r="B14" s="9">
        <v>34.520000000000003</v>
      </c>
      <c r="C14" s="9">
        <v>89.07</v>
      </c>
      <c r="D14" s="9">
        <v>168.01</v>
      </c>
      <c r="E14" s="9">
        <v>1.74</v>
      </c>
      <c r="F14" s="9">
        <v>16.8</v>
      </c>
      <c r="G14" s="9">
        <v>67.2</v>
      </c>
      <c r="H14" s="9">
        <v>3875.93</v>
      </c>
    </row>
    <row r="15" spans="1:11" x14ac:dyDescent="0.3">
      <c r="A15" s="12" t="s">
        <v>59</v>
      </c>
      <c r="B15" s="9">
        <v>34.68</v>
      </c>
      <c r="C15" s="9">
        <v>88.94</v>
      </c>
      <c r="D15" s="9">
        <v>380.74</v>
      </c>
      <c r="E15" s="9">
        <v>3.93</v>
      </c>
      <c r="F15" s="9">
        <v>38.07</v>
      </c>
      <c r="G15" s="9">
        <v>152.30000000000001</v>
      </c>
      <c r="H15" s="9">
        <v>3448.97</v>
      </c>
    </row>
    <row r="16" spans="1:11" x14ac:dyDescent="0.3">
      <c r="A16" s="11" t="s">
        <v>60</v>
      </c>
      <c r="B16" s="9">
        <v>35</v>
      </c>
      <c r="C16" s="9">
        <v>88.91</v>
      </c>
      <c r="D16" s="9">
        <v>440.8</v>
      </c>
      <c r="E16" s="9">
        <v>4.5199999999999996</v>
      </c>
      <c r="F16" s="9">
        <v>44.08</v>
      </c>
      <c r="G16" s="9">
        <v>176.32</v>
      </c>
      <c r="H16" s="9">
        <v>4228.1899999999996</v>
      </c>
    </row>
    <row r="17" spans="1:8" x14ac:dyDescent="0.3">
      <c r="A17" s="10" t="s">
        <v>74</v>
      </c>
      <c r="B17" s="10">
        <v>15</v>
      </c>
      <c r="C17" s="10">
        <v>15</v>
      </c>
      <c r="D17" s="10">
        <v>15</v>
      </c>
      <c r="E17" s="10">
        <v>15</v>
      </c>
      <c r="F17" s="10">
        <v>15</v>
      </c>
      <c r="G17" s="10">
        <v>15</v>
      </c>
      <c r="H17" s="10">
        <v>15</v>
      </c>
    </row>
    <row r="18" spans="1:8" x14ac:dyDescent="0.3">
      <c r="A18" s="10" t="s">
        <v>75</v>
      </c>
      <c r="B18" s="10">
        <v>34.82</v>
      </c>
      <c r="C18" s="10">
        <v>89.03</v>
      </c>
      <c r="D18" s="10">
        <v>395.1</v>
      </c>
      <c r="E18" s="10">
        <v>4.0549999999999997</v>
      </c>
      <c r="F18" s="10">
        <v>39.51</v>
      </c>
      <c r="G18" s="10">
        <v>158</v>
      </c>
      <c r="H18" s="10">
        <v>3887</v>
      </c>
    </row>
    <row r="19" spans="1:8" x14ac:dyDescent="0.3">
      <c r="A19" s="10" t="s">
        <v>76</v>
      </c>
      <c r="B19" s="10">
        <v>0.30599999999999999</v>
      </c>
      <c r="C19" s="10">
        <v>0.12820000000000001</v>
      </c>
      <c r="D19" s="10">
        <v>173.9</v>
      </c>
      <c r="E19" s="10">
        <v>1.778</v>
      </c>
      <c r="F19" s="10">
        <v>17.39</v>
      </c>
      <c r="G19" s="10">
        <v>69.569999999999993</v>
      </c>
      <c r="H19" s="10">
        <v>806.8</v>
      </c>
    </row>
    <row r="20" spans="1:8" x14ac:dyDescent="0.3">
      <c r="A20" s="10" t="s">
        <v>77</v>
      </c>
      <c r="B20" s="10">
        <v>34.04</v>
      </c>
      <c r="C20" s="10">
        <v>88.71</v>
      </c>
      <c r="D20" s="10">
        <v>132.9</v>
      </c>
      <c r="E20" s="10">
        <v>1.375</v>
      </c>
      <c r="F20" s="10">
        <v>13.29</v>
      </c>
      <c r="G20" s="10">
        <v>53.17</v>
      </c>
      <c r="H20" s="10">
        <v>2824</v>
      </c>
    </row>
    <row r="21" spans="1:8" x14ac:dyDescent="0.3">
      <c r="A21" s="10" t="s">
        <v>78</v>
      </c>
      <c r="B21" s="10">
        <v>35.44</v>
      </c>
      <c r="C21" s="10">
        <v>89.22</v>
      </c>
      <c r="D21" s="10">
        <v>781.2</v>
      </c>
      <c r="E21" s="10">
        <v>8.0009999999999994</v>
      </c>
      <c r="F21" s="10">
        <v>78.12</v>
      </c>
      <c r="G21" s="10">
        <v>312.5</v>
      </c>
      <c r="H21" s="10">
        <v>5748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B5F0-4EEB-4F90-83C8-81EEED930560}">
  <dimension ref="A1:D17"/>
  <sheetViews>
    <sheetView workbookViewId="0">
      <selection activeCell="C13" sqref="C13"/>
    </sheetView>
  </sheetViews>
  <sheetFormatPr defaultRowHeight="14.4" x14ac:dyDescent="0.3"/>
  <cols>
    <col min="2" max="2" width="11.5546875" bestFit="1" customWidth="1"/>
    <col min="4" max="4" width="10.5546875" bestFit="1" customWidth="1"/>
  </cols>
  <sheetData>
    <row r="1" spans="1:4" x14ac:dyDescent="0.3">
      <c r="A1" s="9">
        <v>3829.95</v>
      </c>
      <c r="B1" s="3"/>
      <c r="C1">
        <v>9292.7483438159434</v>
      </c>
      <c r="D1" s="3">
        <f>C1/1.1</f>
        <v>8447.9530398326751</v>
      </c>
    </row>
    <row r="2" spans="1:4" x14ac:dyDescent="0.3">
      <c r="A2" s="9">
        <v>3676.59</v>
      </c>
      <c r="B2" s="3"/>
      <c r="C2">
        <v>8698.8179370434354</v>
      </c>
      <c r="D2" s="3">
        <f t="shared" ref="D2:D15" si="0">C2/1.1</f>
        <v>7908.0163064031221</v>
      </c>
    </row>
    <row r="3" spans="1:4" x14ac:dyDescent="0.3">
      <c r="A3" s="9">
        <v>3220.63</v>
      </c>
      <c r="B3" s="3"/>
      <c r="C3">
        <v>9166.7694229204681</v>
      </c>
      <c r="D3" s="3">
        <f t="shared" si="0"/>
        <v>8333.4267481095158</v>
      </c>
    </row>
    <row r="4" spans="1:4" x14ac:dyDescent="0.3">
      <c r="A4" s="9">
        <v>5254.93</v>
      </c>
      <c r="B4" s="3"/>
      <c r="C4">
        <v>8692.9694179552862</v>
      </c>
      <c r="D4" s="3">
        <f t="shared" si="0"/>
        <v>7902.6994708684415</v>
      </c>
    </row>
    <row r="5" spans="1:4" x14ac:dyDescent="0.3">
      <c r="A5" s="9">
        <v>3622.22</v>
      </c>
      <c r="B5" s="3"/>
      <c r="C5">
        <v>9057.3093175262948</v>
      </c>
      <c r="D5" s="3">
        <f t="shared" si="0"/>
        <v>8233.9175613875395</v>
      </c>
    </row>
    <row r="6" spans="1:4" x14ac:dyDescent="0.3">
      <c r="A6" s="9">
        <v>4231.29</v>
      </c>
      <c r="B6" s="3"/>
      <c r="C6">
        <v>11699.890025196131</v>
      </c>
      <c r="D6" s="3">
        <f t="shared" si="0"/>
        <v>10636.263659269209</v>
      </c>
    </row>
    <row r="7" spans="1:4" x14ac:dyDescent="0.3">
      <c r="A7" s="9">
        <v>3097.46</v>
      </c>
      <c r="B7" s="3"/>
      <c r="C7">
        <v>9441.8257755381183</v>
      </c>
      <c r="D7" s="3">
        <f t="shared" si="0"/>
        <v>8583.4779777619242</v>
      </c>
    </row>
    <row r="8" spans="1:4" x14ac:dyDescent="0.3">
      <c r="A8" s="9">
        <v>3399.27</v>
      </c>
      <c r="B8" s="3"/>
      <c r="C8">
        <v>7231.9848042998192</v>
      </c>
      <c r="D8" s="3">
        <f t="shared" si="0"/>
        <v>6574.5316402725621</v>
      </c>
    </row>
    <row r="9" spans="1:4" x14ac:dyDescent="0.3">
      <c r="A9" s="9">
        <v>4555.95</v>
      </c>
      <c r="B9" s="3"/>
      <c r="C9">
        <v>6551.5596019153736</v>
      </c>
      <c r="D9" s="3">
        <f t="shared" si="0"/>
        <v>5955.9632744685214</v>
      </c>
    </row>
    <row r="10" spans="1:4" x14ac:dyDescent="0.3">
      <c r="A10" s="9">
        <v>5748.24</v>
      </c>
      <c r="B10" s="3"/>
      <c r="C10">
        <v>6871.6326199964333</v>
      </c>
      <c r="D10" s="3">
        <f t="shared" si="0"/>
        <v>6246.9387454513026</v>
      </c>
    </row>
    <row r="11" spans="1:4" x14ac:dyDescent="0.3">
      <c r="A11" s="9">
        <v>2823.73</v>
      </c>
      <c r="B11" s="3"/>
      <c r="C11">
        <v>5724.2422661866913</v>
      </c>
      <c r="D11" s="3">
        <f t="shared" si="0"/>
        <v>5203.8566056242644</v>
      </c>
    </row>
    <row r="12" spans="1:4" x14ac:dyDescent="0.3">
      <c r="A12" s="9">
        <v>3295.83</v>
      </c>
      <c r="B12" s="3"/>
      <c r="C12">
        <v>6532.0011993202152</v>
      </c>
      <c r="D12" s="3">
        <f t="shared" si="0"/>
        <v>5938.1829084729225</v>
      </c>
    </row>
    <row r="13" spans="1:4" x14ac:dyDescent="0.3">
      <c r="A13" s="9">
        <v>3875.93</v>
      </c>
      <c r="B13" s="3"/>
      <c r="C13">
        <v>9683.7043629769942</v>
      </c>
      <c r="D13" s="3">
        <f t="shared" si="0"/>
        <v>8803.3676027063575</v>
      </c>
    </row>
    <row r="14" spans="1:4" x14ac:dyDescent="0.3">
      <c r="A14" s="9">
        <v>3448.97</v>
      </c>
      <c r="B14" s="3"/>
      <c r="C14">
        <v>6820.7866452142162</v>
      </c>
      <c r="D14" s="3">
        <f t="shared" si="0"/>
        <v>6200.7151320129233</v>
      </c>
    </row>
    <row r="15" spans="1:4" x14ac:dyDescent="0.3">
      <c r="A15" s="9">
        <v>4228.1899999999996</v>
      </c>
      <c r="B15" s="3"/>
      <c r="C15">
        <v>6155.0437383065482</v>
      </c>
      <c r="D15" s="3">
        <f t="shared" si="0"/>
        <v>5595.4943075514075</v>
      </c>
    </row>
    <row r="17" spans="1:4" x14ac:dyDescent="0.3">
      <c r="A17">
        <f>_xlfn.STDEV.S(A1:A15)/AVERAGE(A1:A15)</f>
        <v>0.20754737039445212</v>
      </c>
      <c r="C17">
        <f>_xlfn.STDEV.S(C1:C15)/AVERAGE(C1:C15)</f>
        <v>0.2075218118912375</v>
      </c>
      <c r="D17">
        <f>_xlfn.STDEV.S(D1:D15)/AVERAGE(D1:D15)</f>
        <v>0.20752181189123714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7E6AA-59E5-4B45-BC70-9DA3598FE599}">
  <dimension ref="A1:Q16"/>
  <sheetViews>
    <sheetView zoomScale="85" zoomScaleNormal="85" workbookViewId="0">
      <pane xSplit="4" topLeftCell="E1" activePane="topRight" state="frozen"/>
      <selection pane="topRight" activeCell="O11" sqref="O11"/>
    </sheetView>
  </sheetViews>
  <sheetFormatPr defaultRowHeight="14.4" x14ac:dyDescent="0.3"/>
  <cols>
    <col min="1" max="1" width="9.88671875" style="4" bestFit="1" customWidth="1"/>
    <col min="2" max="3" width="9.88671875" style="4" hidden="1" customWidth="1"/>
    <col min="4" max="4" width="9.33203125" style="4" hidden="1" customWidth="1"/>
    <col min="5" max="5" width="20.5546875" bestFit="1" customWidth="1"/>
    <col min="6" max="6" width="12.5546875" hidden="1" customWidth="1"/>
    <col min="7" max="7" width="7.33203125" customWidth="1"/>
    <col min="8" max="8" width="12.5546875" hidden="1" customWidth="1"/>
    <col min="9" max="10" width="14.5546875" hidden="1" customWidth="1"/>
    <col min="11" max="11" width="10.33203125" style="6" bestFit="1" customWidth="1"/>
    <col min="12" max="12" width="20.33203125" style="6" hidden="1" customWidth="1"/>
    <col min="13" max="13" width="22.33203125" style="6" hidden="1" customWidth="1"/>
    <col min="14" max="14" width="13.6640625" hidden="1" customWidth="1"/>
    <col min="15" max="15" width="30.6640625" style="7" bestFit="1" customWidth="1"/>
    <col min="16" max="16" width="12.88671875" style="6" customWidth="1"/>
    <col min="17" max="17" width="29.6640625" bestFit="1" customWidth="1"/>
  </cols>
  <sheetData>
    <row r="1" spans="1:17" x14ac:dyDescent="0.3">
      <c r="A1" s="4" t="s">
        <v>61</v>
      </c>
      <c r="B1" s="4" t="s">
        <v>5</v>
      </c>
      <c r="C1" s="4" t="s">
        <v>7</v>
      </c>
      <c r="D1" s="4" t="s">
        <v>6</v>
      </c>
      <c r="E1" t="s">
        <v>41</v>
      </c>
      <c r="F1" t="s">
        <v>0</v>
      </c>
      <c r="G1" t="s">
        <v>2</v>
      </c>
      <c r="H1" t="s">
        <v>1</v>
      </c>
      <c r="I1" t="s">
        <v>3</v>
      </c>
      <c r="J1" t="s">
        <v>4</v>
      </c>
      <c r="K1" s="6" t="s">
        <v>38</v>
      </c>
      <c r="L1" s="6" t="s">
        <v>39</v>
      </c>
      <c r="M1" s="6" t="s">
        <v>40</v>
      </c>
      <c r="N1" t="s">
        <v>42</v>
      </c>
      <c r="O1" s="7" t="s">
        <v>43</v>
      </c>
      <c r="P1" s="6" t="s">
        <v>45</v>
      </c>
      <c r="Q1" t="s">
        <v>44</v>
      </c>
    </row>
    <row r="2" spans="1:17" x14ac:dyDescent="0.3">
      <c r="A2" s="4" t="s">
        <v>46</v>
      </c>
      <c r="B2" s="4" t="s">
        <v>8</v>
      </c>
      <c r="C2" s="4" t="str">
        <f>B2 &amp;" / "&amp; D2</f>
        <v>15K / 55F</v>
      </c>
      <c r="D2" s="4" t="s">
        <v>23</v>
      </c>
      <c r="E2" s="3">
        <f>(pva24_[[#This Row],[COMPRIMENTO (cm)]] - ic25_[[#This Row],[COMPRIMENTO (cm)]])</f>
        <v>0.10000000000002274</v>
      </c>
      <c r="F2" s="3"/>
      <c r="G2" s="5">
        <f>(pva24_[[#This Row],[SW]] - ic25_[[#This Row],[SW]]) / (ic25_[[#This Row],[SW]])</f>
        <v>-5.3475935828877004E-2</v>
      </c>
      <c r="H2" s="3"/>
      <c r="I2" s="3"/>
      <c r="J2" s="3"/>
      <c r="K2" s="6">
        <f>(pva24_[[#This Row],[PESO (g)]] - ic25_[[#This Row],[Massa (g)]]) / (ic25_[[#This Row],[Massa (g)]])</f>
        <v>0.61973875181422355</v>
      </c>
      <c r="L2" s="6">
        <f>(pva24_[[#This Row],[LARGURA MÉD (mm)]] - ic25_[[#This Row],[LARGURA MÉD (mm)]]) / (ic25_[[#This Row],[LARGURA MÉD (mm)]])</f>
        <v>0.55602940351271002</v>
      </c>
      <c r="M2" s="6">
        <f>(pva24_[[#This Row],[ESPESSURA MÉD (mm)]] - ic25_[[#This Row],[ESPESSURA MÉD (mm)]]) / (ic25_[[#This Row],[ESPESSURA MÉD (mm)]])</f>
        <v>-6.7412507171543158E-3</v>
      </c>
      <c r="N2" s="3"/>
      <c r="O2" s="7">
        <f>(pva24_[[#This Row],[Densidade Aparente m/V (kg/m³)]] - ic25_[[#This Row],[ME.Aparente m/V (kg/m³)]]) / (ic25_[[#This Row],[ME.Aparente m/V (kg/m³)]])</f>
        <v>4.7611151237394886E-2</v>
      </c>
      <c r="P2" s="6">
        <f>(pva24_[[#This Row],[SW Velocidade (m/s)]] - ic25_[[#This Row],[SW Vel. (m/s)]]) / (ic25_[[#This Row],[SW Vel. (m/s)]])</f>
        <v>5.6897818741978898E-2</v>
      </c>
      <c r="Q2" s="5">
        <f>(pva24_[[#This Row],[E (módulo de elasticidade) MPa]] - ic25_[[#This Row],[MOE_din (Mpa)]]) / (ic25_[[#This Row],[MOE_din (Mpa)]])</f>
        <v>0.17021622632655531</v>
      </c>
    </row>
    <row r="3" spans="1:17" x14ac:dyDescent="0.3">
      <c r="A3" s="4" t="s">
        <v>47</v>
      </c>
      <c r="B3" s="4" t="s">
        <v>9</v>
      </c>
      <c r="C3" s="4" t="str">
        <f t="shared" ref="C3:C16" si="0">B3 &amp;" / "&amp; D3</f>
        <v>16K / 49F</v>
      </c>
      <c r="D3" s="4" t="s">
        <v>24</v>
      </c>
      <c r="E3" s="3">
        <f>(pva24_[[#This Row],[COMPRIMENTO (cm)]] - ic25_[[#This Row],[COMPRIMENTO (cm)]])</f>
        <v>0.60000000000002274</v>
      </c>
      <c r="F3" s="3"/>
      <c r="G3" s="5">
        <f>(pva24_[[#This Row],[SW]] - ic25_[[#This Row],[SW]]) / (ic25_[[#This Row],[SW]])</f>
        <v>5.944055944055944E-2</v>
      </c>
      <c r="H3" s="3"/>
      <c r="I3" s="3"/>
      <c r="J3" s="3"/>
      <c r="K3" s="6">
        <f>(pva24_[[#This Row],[PESO (g)]] - ic25_[[#This Row],[Massa (g)]]) / (ic25_[[#This Row],[Massa (g)]])</f>
        <v>0.49331352154531949</v>
      </c>
      <c r="L3" s="6">
        <f>(pva24_[[#This Row],[LARGURA MÉD (mm)]] - ic25_[[#This Row],[LARGURA MÉD (mm)]]) / (ic25_[[#This Row],[LARGURA MÉD (mm)]])</f>
        <v>0.55741761331683726</v>
      </c>
      <c r="M3" s="6">
        <f>(pva24_[[#This Row],[ESPESSURA MÉD (mm)]] - ic25_[[#This Row],[ESPESSURA MÉD (mm)]]) / (ic25_[[#This Row],[ESPESSURA MÉD (mm)]])</f>
        <v>-1.4285714285701293E-4</v>
      </c>
      <c r="N3" s="3"/>
      <c r="O3" s="7">
        <f>(pva24_[[#This Row],[Densidade Aparente m/V (kg/m³)]] - ic25_[[#This Row],[ME.Aparente m/V (kg/m³)]]) / (ic25_[[#This Row],[ME.Aparente m/V (kg/m³)]])</f>
        <v>-4.3204650403630085E-2</v>
      </c>
      <c r="P3" s="6">
        <f>(pva24_[[#This Row],[SW Velocidade (m/s)]] - ic25_[[#This Row],[SW Vel. (m/s)]]) / (ic25_[[#This Row],[SW Vel. (m/s)]])</f>
        <v>-5.395387563072402E-2</v>
      </c>
      <c r="Q3" s="5">
        <f>(pva24_[[#This Row],[E (módulo de elasticidade) MPa]] - ic25_[[#This Row],[MOE_din (Mpa)]]) / (ic25_[[#This Row],[MOE_din (Mpa)]])</f>
        <v>-0.14366503393187982</v>
      </c>
    </row>
    <row r="4" spans="1:17" x14ac:dyDescent="0.3">
      <c r="A4" s="4" t="s">
        <v>48</v>
      </c>
      <c r="B4" s="4" t="s">
        <v>10</v>
      </c>
      <c r="C4" s="4" t="str">
        <f t="shared" si="0"/>
        <v>17K / 65F</v>
      </c>
      <c r="D4" s="4" t="s">
        <v>25</v>
      </c>
      <c r="E4" s="3">
        <f>(pva24_[[#This Row],[COMPRIMENTO (cm)]] - ic25_[[#This Row],[COMPRIMENTO (cm)]])</f>
        <v>0</v>
      </c>
      <c r="F4" s="3"/>
      <c r="G4" s="5">
        <f>(pva24_[[#This Row],[SW]] - ic25_[[#This Row],[SW]]) / (ic25_[[#This Row],[SW]])</f>
        <v>7.5949367088607597E-2</v>
      </c>
      <c r="H4" s="3"/>
      <c r="I4" s="3"/>
      <c r="J4" s="3"/>
      <c r="K4" s="6">
        <f>(pva24_[[#This Row],[PESO (g)]] - ic25_[[#This Row],[Massa (g)]]) / (ic25_[[#This Row],[Massa (g)]])</f>
        <v>0.72465960665658091</v>
      </c>
      <c r="L4" s="6">
        <f>(pva24_[[#This Row],[LARGURA MÉD (mm)]] - ic25_[[#This Row],[LARGURA MÉD (mm)]]) / (ic25_[[#This Row],[LARGURA MÉD (mm)]])</f>
        <v>0.56414158493969091</v>
      </c>
      <c r="M4" s="6">
        <f>(pva24_[[#This Row],[ESPESSURA MÉD (mm)]] - ic25_[[#This Row],[ESPESSURA MÉD (mm)]]) / (ic25_[[#This Row],[ESPESSURA MÉD (mm)]])</f>
        <v>-1.2593016599885454E-2</v>
      </c>
      <c r="N4" s="3"/>
      <c r="O4" s="7">
        <f>(pva24_[[#This Row],[Densidade Aparente m/V (kg/m³)]] - ic25_[[#This Row],[ME.Aparente m/V (kg/m³)]]) / (ic25_[[#This Row],[ME.Aparente m/V (kg/m³)]])</f>
        <v>0.11668616334082665</v>
      </c>
      <c r="P4" s="6">
        <f>(pva24_[[#This Row],[SW Velocidade (m/s)]] - ic25_[[#This Row],[SW Vel. (m/s)]]) / (ic25_[[#This Row],[SW Vel. (m/s)]])</f>
        <v>-7.0588235294117618E-2</v>
      </c>
      <c r="Q4" s="5">
        <f>(pva24_[[#This Row],[E (módulo de elasticidade) MPa]] - ic25_[[#This Row],[MOE_din (Mpa)]]) / (ic25_[[#This Row],[MOE_din (Mpa)]])</f>
        <v>-3.5399536967460218E-2</v>
      </c>
    </row>
    <row r="5" spans="1:17" x14ac:dyDescent="0.3">
      <c r="A5" s="4" t="s">
        <v>49</v>
      </c>
      <c r="B5" s="4" t="s">
        <v>11</v>
      </c>
      <c r="C5" s="4" t="str">
        <f t="shared" si="0"/>
        <v>18K / 15F</v>
      </c>
      <c r="D5" s="4" t="s">
        <v>26</v>
      </c>
      <c r="E5" s="3">
        <f>(pva24_[[#This Row],[COMPRIMENTO (cm)]] - ic25_[[#This Row],[COMPRIMENTO (cm)]])</f>
        <v>-1</v>
      </c>
      <c r="F5" s="3"/>
      <c r="G5" s="5">
        <f>(pva24_[[#This Row],[SW]] - ic25_[[#This Row],[SW]]) / (ic25_[[#This Row],[SW]])</f>
        <v>-4.7285464098073555E-2</v>
      </c>
      <c r="H5" s="3"/>
      <c r="I5" s="3"/>
      <c r="J5" s="3"/>
      <c r="K5" s="6">
        <f>(pva24_[[#This Row],[PESO (g)]] - ic25_[[#This Row],[Massa (g)]]) / (ic25_[[#This Row],[Massa (g)]])</f>
        <v>0.81942336874051591</v>
      </c>
      <c r="L5" s="6">
        <f>(pva24_[[#This Row],[LARGURA MÉD (mm)]] - ic25_[[#This Row],[LARGURA MÉD (mm)]]) / (ic25_[[#This Row],[LARGURA MÉD (mm)]])</f>
        <v>0.56596773286862678</v>
      </c>
      <c r="M5" s="6">
        <f>(pva24_[[#This Row],[ESPESSURA MÉD (mm)]] - ic25_[[#This Row],[ESPESSURA MÉD (mm)]]) / (ic25_[[#This Row],[ESPESSURA MÉD (mm)]])</f>
        <v>1.8759018759020153E-3</v>
      </c>
      <c r="N5" s="3"/>
      <c r="O5" s="7">
        <f>(pva24_[[#This Row],[Densidade Aparente m/V (kg/m³)]] - ic25_[[#This Row],[ME.Aparente m/V (kg/m³)]]) / (ic25_[[#This Row],[ME.Aparente m/V (kg/m³)]])</f>
        <v>0.16406801228517554</v>
      </c>
      <c r="P5" s="6">
        <f>(pva24_[[#This Row],[SW Velocidade (m/s)]] - ic25_[[#This Row],[SW Vel. (m/s)]]) / (ic25_[[#This Row],[SW Vel. (m/s)]])</f>
        <v>4.5672970244302849E-2</v>
      </c>
      <c r="Q5" s="5">
        <f>(pva24_[[#This Row],[E (módulo de elasticidade) MPa]] - ic25_[[#This Row],[MOE_din (Mpa)]]) / (ic25_[[#This Row],[MOE_din (Mpa)]])</f>
        <v>0.2728291690605989</v>
      </c>
    </row>
    <row r="6" spans="1:17" x14ac:dyDescent="0.3">
      <c r="A6" s="4" t="s">
        <v>50</v>
      </c>
      <c r="B6" s="4" t="s">
        <v>12</v>
      </c>
      <c r="C6" s="4" t="str">
        <f t="shared" si="0"/>
        <v>19K / 38F</v>
      </c>
      <c r="D6" s="4" t="s">
        <v>27</v>
      </c>
      <c r="E6" s="3">
        <f>(pva24_[[#This Row],[COMPRIMENTO (cm)]] - ic25_[[#This Row],[COMPRIMENTO (cm)]])</f>
        <v>-0.10000000000002274</v>
      </c>
      <c r="F6" s="3"/>
      <c r="G6" s="5">
        <f>(pva24_[[#This Row],[SW]] - ic25_[[#This Row],[SW]]) / (ic25_[[#This Row],[SW]])</f>
        <v>-2.0905923344947737E-2</v>
      </c>
      <c r="H6" s="3"/>
      <c r="I6" s="3"/>
      <c r="J6" s="3"/>
      <c r="K6" s="6">
        <f>(pva24_[[#This Row],[PESO (g)]] - ic25_[[#This Row],[Massa (g)]]) / (ic25_[[#This Row],[Massa (g)]])</f>
        <v>0.45401459854014597</v>
      </c>
      <c r="L6" s="6">
        <f>(pva24_[[#This Row],[LARGURA MÉD (mm)]] - ic25_[[#This Row],[LARGURA MÉD (mm)]]) / (ic25_[[#This Row],[LARGURA MÉD (mm)]])</f>
        <v>0.55467129966933792</v>
      </c>
      <c r="M6" s="6">
        <f>(pva24_[[#This Row],[ESPESSURA MÉD (mm)]] - ic25_[[#This Row],[ESPESSURA MÉD (mm)]]) / (ic25_[[#This Row],[ESPESSURA MÉD (mm)]])</f>
        <v>-2.0873758394832551E-16</v>
      </c>
      <c r="N6" s="3"/>
      <c r="O6" s="7">
        <f>(pva24_[[#This Row],[Densidade Aparente m/V (kg/m³)]] - ic25_[[#This Row],[ME.Aparente m/V (kg/m³)]]) / (ic25_[[#This Row],[ME.Aparente m/V (kg/m³)]])</f>
        <v>-6.4391089733927445E-2</v>
      </c>
      <c r="P6" s="6">
        <f>(pva24_[[#This Row],[SW Velocidade (m/s)]] - ic25_[[#This Row],[SW Vel. (m/s)]]) / (ic25_[[#This Row],[SW Vel. (m/s)]])</f>
        <v>2.0966314560620355E-2</v>
      </c>
      <c r="Q6" s="5">
        <f>(pva24_[[#This Row],[E (módulo de elasticidade) MPa]] - ic25_[[#This Row],[MOE_din (Mpa)]]) / (ic25_[[#This Row],[MOE_din (Mpa)]])</f>
        <v>-2.474726739482451E-2</v>
      </c>
    </row>
    <row r="7" spans="1:17" x14ac:dyDescent="0.3">
      <c r="A7" s="4" t="s">
        <v>51</v>
      </c>
      <c r="B7" s="4" t="s">
        <v>13</v>
      </c>
      <c r="C7" s="4" t="str">
        <f t="shared" si="0"/>
        <v>20K / 204G</v>
      </c>
      <c r="D7" s="4" t="s">
        <v>28</v>
      </c>
      <c r="E7" s="3">
        <f>(pva24_[[#This Row],[COMPRIMENTO (cm)]] - ic25_[[#This Row],[COMPRIMENTO (cm)]])</f>
        <v>-1.0999999999999659</v>
      </c>
      <c r="F7" s="3"/>
      <c r="G7" s="5">
        <f>(pva24_[[#This Row],[SW]] - ic25_[[#This Row],[SW]]) / (ic25_[[#This Row],[SW]])</f>
        <v>5.4924242424242424E-2</v>
      </c>
      <c r="H7" s="3"/>
      <c r="I7" s="3"/>
      <c r="J7" s="3"/>
      <c r="K7" s="6">
        <f>(pva24_[[#This Row],[PESO (g)]] - ic25_[[#This Row],[Massa (g)]]) / (ic25_[[#This Row],[Massa (g)]])</f>
        <v>0.43302990897269183</v>
      </c>
      <c r="L7" s="6">
        <f>(pva24_[[#This Row],[LARGURA MÉD (mm)]] - ic25_[[#This Row],[LARGURA MÉD (mm)]]) / (ic25_[[#This Row],[LARGURA MÉD (mm)]])</f>
        <v>0.572245584524811</v>
      </c>
      <c r="M7" s="6">
        <f>(pva24_[[#This Row],[ESPESSURA MÉD (mm)]] - ic25_[[#This Row],[ESPESSURA MÉD (mm)]]) / (ic25_[[#This Row],[ESPESSURA MÉD (mm)]])</f>
        <v>-3.292770221903934E-3</v>
      </c>
      <c r="N7" s="3"/>
      <c r="O7" s="7">
        <f>(pva24_[[#This Row],[Densidade Aparente m/V (kg/m³)]] - ic25_[[#This Row],[ME.Aparente m/V (kg/m³)]]) / (ic25_[[#This Row],[ME.Aparente m/V (kg/m³)]])</f>
        <v>-8.1711326358210726E-2</v>
      </c>
      <c r="P7" s="6">
        <f>(pva24_[[#This Row],[SW Velocidade (m/s)]] - ic25_[[#This Row],[SW Vel. (m/s)]]) / (ic25_[[#This Row],[SW Vel. (m/s)]])</f>
        <v>-5.6011372701981393E-2</v>
      </c>
      <c r="Q7" s="5">
        <f>(pva24_[[#This Row],[E (módulo de elasticidade) MPa]] - ic25_[[#This Row],[MOE_din (Mpa)]]) / (ic25_[[#This Row],[MOE_din (Mpa)]])</f>
        <v>-0.18169962159019404</v>
      </c>
    </row>
    <row r="8" spans="1:17" x14ac:dyDescent="0.3">
      <c r="A8" s="4" t="s">
        <v>52</v>
      </c>
      <c r="B8" s="4" t="s">
        <v>14</v>
      </c>
      <c r="C8" s="4" t="str">
        <f t="shared" si="0"/>
        <v>21K / 57F</v>
      </c>
      <c r="D8" s="4" t="s">
        <v>29</v>
      </c>
      <c r="E8" s="3">
        <f>(pva24_[[#This Row],[COMPRIMENTO (cm)]] - ic25_[[#This Row],[COMPRIMENTO (cm)]])</f>
        <v>-2.5</v>
      </c>
      <c r="F8" s="3"/>
      <c r="G8" s="5">
        <f>(pva24_[[#This Row],[SW]] - ic25_[[#This Row],[SW]]) / (ic25_[[#This Row],[SW]])</f>
        <v>0.12798634812286688</v>
      </c>
      <c r="H8" s="3"/>
      <c r="I8" s="3"/>
      <c r="J8" s="3"/>
      <c r="K8" s="6">
        <f>(pva24_[[#This Row],[PESO (g)]] - ic25_[[#This Row],[Massa (g)]]) / (ic25_[[#This Row],[Massa (g)]])</f>
        <v>0.46578947368421053</v>
      </c>
      <c r="L8" s="6">
        <f>(pva24_[[#This Row],[LARGURA MÉD (mm)]] - ic25_[[#This Row],[LARGURA MÉD (mm)]]) / (ic25_[[#This Row],[LARGURA MÉD (mm)]])</f>
        <v>0.57181404238574418</v>
      </c>
      <c r="M8" s="6">
        <f>(pva24_[[#This Row],[ESPESSURA MÉD (mm)]] - ic25_[[#This Row],[ESPESSURA MÉD (mm)]]) / (ic25_[[#This Row],[ESPESSURA MÉD (mm)]])</f>
        <v>-1.4224137931034411E-2</v>
      </c>
      <c r="N8" s="3"/>
      <c r="O8" s="7">
        <f>(pva24_[[#This Row],[Densidade Aparente m/V (kg/m³)]] - ic25_[[#This Row],[ME.Aparente m/V (kg/m³)]]) / (ic25_[[#This Row],[ME.Aparente m/V (kg/m³)]])</f>
        <v>-4.4957021450752359E-2</v>
      </c>
      <c r="P8" s="6">
        <f>(pva24_[[#This Row],[SW Velocidade (m/s)]] - ic25_[[#This Row],[SW Vel. (m/s)]]) / (ic25_[[#This Row],[SW Vel. (m/s)]])</f>
        <v>-0.12185649203385904</v>
      </c>
      <c r="Q8" s="5">
        <f>(pva24_[[#This Row],[E (módulo de elasticidade) MPa]] - ic25_[[#This Row],[MOE_din (Mpa)]]) / (ic25_[[#This Row],[MOE_din (Mpa)]])</f>
        <v>-0.26353195803572138</v>
      </c>
    </row>
    <row r="9" spans="1:17" x14ac:dyDescent="0.3">
      <c r="A9" s="4" t="s">
        <v>53</v>
      </c>
      <c r="B9" s="4" t="s">
        <v>15</v>
      </c>
      <c r="C9" s="4" t="str">
        <f t="shared" si="0"/>
        <v>22K / 50F</v>
      </c>
      <c r="D9" s="4" t="s">
        <v>30</v>
      </c>
      <c r="E9" s="3">
        <f>(pva24_[[#This Row],[COMPRIMENTO (cm)]] - ic25_[[#This Row],[COMPRIMENTO (cm)]])</f>
        <v>3.1000000000000227</v>
      </c>
      <c r="F9" s="3"/>
      <c r="G9" s="5">
        <f>(pva24_[[#This Row],[SW]] - ic25_[[#This Row],[SW]]) / (ic25_[[#This Row],[SW]])</f>
        <v>-0.13492063492063491</v>
      </c>
      <c r="H9" s="3"/>
      <c r="I9" s="3"/>
      <c r="J9" s="3"/>
      <c r="K9" s="6">
        <f>(pva24_[[#This Row],[PESO (g)]] - ic25_[[#This Row],[Massa (g)]]) / (ic25_[[#This Row],[Massa (g)]])</f>
        <v>0.57692307692307687</v>
      </c>
      <c r="L9" s="6">
        <f>(pva24_[[#This Row],[LARGURA MÉD (mm)]] - ic25_[[#This Row],[LARGURA MÉD (mm)]]) / (ic25_[[#This Row],[LARGURA MÉD (mm)]])</f>
        <v>0.56970991679784144</v>
      </c>
      <c r="M9" s="6">
        <f>(pva24_[[#This Row],[ESPESSURA MÉD (mm)]] - ic25_[[#This Row],[ESPESSURA MÉD (mm)]]) / (ic25_[[#This Row],[ESPESSURA MÉD (mm)]])</f>
        <v>1.7303532804614932E-3</v>
      </c>
      <c r="N9" s="3"/>
      <c r="O9" s="7">
        <f>(pva24_[[#This Row],[Densidade Aparente m/V (kg/m³)]] - ic25_[[#This Row],[ME.Aparente m/V (kg/m³)]]) / (ic25_[[#This Row],[ME.Aparente m/V (kg/m³)]])</f>
        <v>-8.8716522338815051E-3</v>
      </c>
      <c r="P9" s="6">
        <f>(pva24_[[#This Row],[SW Velocidade (m/s)]] - ic25_[[#This Row],[SW Vel. (m/s)]]) / (ic25_[[#This Row],[SW Vel. (m/s)]])</f>
        <v>0.16964595352943035</v>
      </c>
      <c r="Q9" s="5">
        <f>(pva24_[[#This Row],[E (módulo de elasticidade) MPa]] - ic25_[[#This Row],[MOE_din (Mpa)]]) / (ic25_[[#This Row],[MOE_din (Mpa)]])</f>
        <v>0.35593460063931609</v>
      </c>
    </row>
    <row r="10" spans="1:17" x14ac:dyDescent="0.3">
      <c r="A10" s="4" t="s">
        <v>54</v>
      </c>
      <c r="B10" s="4" t="s">
        <v>16</v>
      </c>
      <c r="C10" s="4" t="str">
        <f t="shared" si="0"/>
        <v>23K / 30F</v>
      </c>
      <c r="D10" s="4" t="s">
        <v>31</v>
      </c>
      <c r="E10" s="3">
        <f>(pva24_[[#This Row],[COMPRIMENTO (cm)]] - ic25_[[#This Row],[COMPRIMENTO (cm)]])</f>
        <v>-1.8999999999999773</v>
      </c>
      <c r="F10" s="3"/>
      <c r="G10" s="5">
        <f>(pva24_[[#This Row],[SW]] - ic25_[[#This Row],[SW]]) / (ic25_[[#This Row],[SW]])</f>
        <v>-0.19135802469135801</v>
      </c>
      <c r="H10" s="3"/>
      <c r="I10" s="3"/>
      <c r="J10" s="3"/>
      <c r="K10" s="6">
        <f>(pva24_[[#This Row],[PESO (g)]] - ic25_[[#This Row],[Massa (g)]]) / (ic25_[[#This Row],[Massa (g)]])</f>
        <v>0.6350931677018633</v>
      </c>
      <c r="L10" s="6">
        <f>(pva24_[[#This Row],[LARGURA MÉD (mm)]] - ic25_[[#This Row],[LARGURA MÉD (mm)]]) / (ic25_[[#This Row],[LARGURA MÉD (mm)]])</f>
        <v>0.57166114635378684</v>
      </c>
      <c r="M10" s="6">
        <f>(pva24_[[#This Row],[ESPESSURA MÉD (mm)]] - ic25_[[#This Row],[ESPESSURA MÉD (mm)]]) / (ic25_[[#This Row],[ESPESSURA MÉD (mm)]])</f>
        <v>1.4384349827386983E-3</v>
      </c>
      <c r="N10" s="3"/>
      <c r="O10" s="7">
        <f>(pva24_[[#This Row],[Densidade Aparente m/V (kg/m³)]] - ic25_[[#This Row],[ME.Aparente m/V (kg/m³)]]) / (ic25_[[#This Row],[ME.Aparente m/V (kg/m³)]])</f>
        <v>4.6382062027640003E-2</v>
      </c>
      <c r="P10" s="6">
        <f>(pva24_[[#This Row],[SW Velocidade (m/s)]] - ic25_[[#This Row],[SW Vel. (m/s)]]) / (ic25_[[#This Row],[SW Vel. (m/s)]])</f>
        <v>0.22775797630557451</v>
      </c>
      <c r="Q10" s="5">
        <f>(pva24_[[#This Row],[E (módulo de elasticidade) MPa]] - ic25_[[#This Row],[MOE_din (Mpa)]]) / (ic25_[[#This Row],[MOE_din (Mpa)]])</f>
        <v>0.5773054885530341</v>
      </c>
    </row>
    <row r="11" spans="1:17" x14ac:dyDescent="0.3">
      <c r="A11" s="4" t="s">
        <v>55</v>
      </c>
      <c r="B11" s="4" t="s">
        <v>17</v>
      </c>
      <c r="C11" s="4" t="str">
        <f t="shared" si="0"/>
        <v>24K / 76F</v>
      </c>
      <c r="D11" s="4" t="s">
        <v>32</v>
      </c>
      <c r="E11" s="3">
        <f>(pva24_[[#This Row],[COMPRIMENTO (cm)]] - ic25_[[#This Row],[COMPRIMENTO (cm)]])</f>
        <v>-0.5</v>
      </c>
      <c r="F11" s="3"/>
      <c r="G11" s="5">
        <f>(pva24_[[#This Row],[SW]] - ic25_[[#This Row],[SW]]) / (ic25_[[#This Row],[SW]])</f>
        <v>-0.17152103559870549</v>
      </c>
      <c r="H11" s="3"/>
      <c r="I11" s="3"/>
      <c r="J11" s="3"/>
      <c r="K11" s="6">
        <f>(pva24_[[#This Row],[PESO (g)]] - ic25_[[#This Row],[Massa (g)]]) / (ic25_[[#This Row],[Massa (g)]])</f>
        <v>0.96485623003194887</v>
      </c>
      <c r="L11" s="6">
        <f>(pva24_[[#This Row],[LARGURA MÉD (mm)]] - ic25_[[#This Row],[LARGURA MÉD (mm)]]) / (ic25_[[#This Row],[LARGURA MÉD (mm)]])</f>
        <v>0.56347513750140321</v>
      </c>
      <c r="M11" s="6">
        <f>(pva24_[[#This Row],[ESPESSURA MÉD (mm)]] - ic25_[[#This Row],[ESPESSURA MÉD (mm)]]) / (ic25_[[#This Row],[ESPESSURA MÉD (mm)]])</f>
        <v>-4.0778890927049533E-2</v>
      </c>
      <c r="N11" s="3"/>
      <c r="O11" s="7">
        <f>(pva24_[[#This Row],[Densidade Aparente m/V (kg/m³)]] - ic25_[[#This Row],[ME.Aparente m/V (kg/m³)]]) / (ic25_[[#This Row],[ME.Aparente m/V (kg/m³)]])</f>
        <v>0.31262961776246778</v>
      </c>
      <c r="P11" s="6">
        <f>(pva24_[[#This Row],[SW Velocidade (m/s)]] - ic25_[[#This Row],[SW Vel. (m/s)]]) / (ic25_[[#This Row],[SW Vel. (m/s)]])</f>
        <v>0.20475125141669814</v>
      </c>
      <c r="Q11" s="5">
        <f>(pva24_[[#This Row],[E (módulo de elasticidade) MPa]] - ic25_[[#This Row],[MOE_din (Mpa)]]) / (ic25_[[#This Row],[MOE_din (Mpa)]])</f>
        <v>0.9051842013852881</v>
      </c>
    </row>
    <row r="12" spans="1:17" x14ac:dyDescent="0.3">
      <c r="A12" s="4" t="s">
        <v>56</v>
      </c>
      <c r="B12" s="4" t="s">
        <v>18</v>
      </c>
      <c r="C12" s="4" t="str">
        <f t="shared" si="0"/>
        <v>25K / 206G</v>
      </c>
      <c r="D12" s="4" t="s">
        <v>33</v>
      </c>
      <c r="E12" s="3">
        <f>(pva24_[[#This Row],[COMPRIMENTO (cm)]] - ic25_[[#This Row],[COMPRIMENTO (cm)]])</f>
        <v>-0.19999999999998863</v>
      </c>
      <c r="F12" s="3"/>
      <c r="G12" s="5">
        <f>(pva24_[[#This Row],[SW]] - ic25_[[#This Row],[SW]]) / (ic25_[[#This Row],[SW]])</f>
        <v>-0.1875</v>
      </c>
      <c r="H12" s="3"/>
      <c r="I12" s="3"/>
      <c r="J12" s="3"/>
      <c r="K12" s="6">
        <f>(pva24_[[#This Row],[PESO (g)]] - ic25_[[#This Row],[Massa (g)]]) / (ic25_[[#This Row],[Massa (g)]])</f>
        <v>0.640625</v>
      </c>
      <c r="L12" s="6">
        <f>(pva24_[[#This Row],[LARGURA MÉD (mm)]] - ic25_[[#This Row],[LARGURA MÉD (mm)]]) / (ic25_[[#This Row],[LARGURA MÉD (mm)]])</f>
        <v>0.56080967107112734</v>
      </c>
      <c r="M12" s="6">
        <f>(pva24_[[#This Row],[ESPESSURA MÉD (mm)]] - ic25_[[#This Row],[ESPESSURA MÉD (mm)]]) / (ic25_[[#This Row],[ESPESSURA MÉD (mm)]])</f>
        <v>-1.6374768617400053E-2</v>
      </c>
      <c r="N12" s="3"/>
      <c r="O12" s="7">
        <f>(pva24_[[#This Row],[Densidade Aparente m/V (kg/m³)]] - ic25_[[#This Row],[ME.Aparente m/V (kg/m³)]]) / (ic25_[[#This Row],[ME.Aparente m/V (kg/m³)]])</f>
        <v>6.944475480517727E-2</v>
      </c>
      <c r="P12" s="6">
        <f>(pva24_[[#This Row],[SW Velocidade (m/s)]] - ic25_[[#This Row],[SW Vel. (m/s)]]) / (ic25_[[#This Row],[SW Vel. (m/s)]])</f>
        <v>0.2298382404282556</v>
      </c>
      <c r="Q12" s="5">
        <f>(pva24_[[#This Row],[E (módulo de elasticidade) MPa]] - ic25_[[#This Row],[MOE_din (Mpa)]]) / (ic25_[[#This Row],[MOE_din (Mpa)]])</f>
        <v>0.61753743493118229</v>
      </c>
    </row>
    <row r="13" spans="1:17" x14ac:dyDescent="0.3">
      <c r="A13" s="4" t="s">
        <v>57</v>
      </c>
      <c r="B13" s="4" t="s">
        <v>19</v>
      </c>
      <c r="C13" s="4" t="str">
        <f t="shared" si="0"/>
        <v>26K / 81F</v>
      </c>
      <c r="D13" s="4" t="s">
        <v>34</v>
      </c>
      <c r="E13" s="3">
        <f>(pva24_[[#This Row],[COMPRIMENTO (cm)]] - ic25_[[#This Row],[COMPRIMENTO (cm)]])</f>
        <v>0.59999999999996589</v>
      </c>
      <c r="F13" s="3"/>
      <c r="G13" s="5">
        <f>(pva24_[[#This Row],[SW]] - ic25_[[#This Row],[SW]]) / (ic25_[[#This Row],[SW]])</f>
        <v>-5.909090909090909E-2</v>
      </c>
      <c r="H13" s="3"/>
      <c r="I13" s="3"/>
      <c r="J13" s="3"/>
      <c r="K13" s="6">
        <f>(pva24_[[#This Row],[PESO (g)]] - ic25_[[#This Row],[Massa (g)]]) / (ic25_[[#This Row],[Massa (g)]])</f>
        <v>0.55886736214605071</v>
      </c>
      <c r="L13" s="6">
        <f>(pva24_[[#This Row],[LARGURA MÉD (mm)]] - ic25_[[#This Row],[LARGURA MÉD (mm)]]) / (ic25_[[#This Row],[LARGURA MÉD (mm)]])</f>
        <v>0.55625385780820413</v>
      </c>
      <c r="M13" s="6">
        <f>(pva24_[[#This Row],[ESPESSURA MÉD (mm)]] - ic25_[[#This Row],[ESPESSURA MÉD (mm)]]) / (ic25_[[#This Row],[ESPESSURA MÉD (mm)]])</f>
        <v>-0.15326995102276</v>
      </c>
      <c r="N13" s="3"/>
      <c r="O13" s="7">
        <f>(pva24_[[#This Row],[Densidade Aparente m/V (kg/m³)]] - ic25_[[#This Row],[ME.Aparente m/V (kg/m³)]]) / (ic25_[[#This Row],[ME.Aparente m/V (kg/m³)]])</f>
        <v>0.18029741353997794</v>
      </c>
      <c r="P13" s="6">
        <f>(pva24_[[#This Row],[SW Velocidade (m/s)]] - ic25_[[#This Row],[SW Vel. (m/s)]]) / (ic25_[[#This Row],[SW Vel. (m/s)]])</f>
        <v>6.5233046204054956E-2</v>
      </c>
      <c r="Q13" s="5">
        <f>(pva24_[[#This Row],[E (módulo de elasticidade) MPa]] - ic25_[[#This Row],[MOE_din (Mpa)]]) / (ic25_[[#This Row],[MOE_din (Mpa)]])</f>
        <v>0.33930878393687064</v>
      </c>
    </row>
    <row r="14" spans="1:17" x14ac:dyDescent="0.3">
      <c r="A14" s="4" t="s">
        <v>58</v>
      </c>
      <c r="B14" s="4" t="s">
        <v>20</v>
      </c>
      <c r="C14" s="4" t="str">
        <f t="shared" si="0"/>
        <v>27K / 59F</v>
      </c>
      <c r="D14" s="4" t="s">
        <v>35</v>
      </c>
      <c r="E14" s="3">
        <f>(pva24_[[#This Row],[COMPRIMENTO (cm)]] - ic25_[[#This Row],[COMPRIMENTO (cm)]])</f>
        <v>-0.19999999999998863</v>
      </c>
      <c r="F14" s="3"/>
      <c r="G14" s="5">
        <f>(pva24_[[#This Row],[SW]] - ic25_[[#This Row],[SW]]) / (ic25_[[#This Row],[SW]])</f>
        <v>-2.030456852791878E-2</v>
      </c>
      <c r="H14" s="3"/>
      <c r="I14" s="3"/>
      <c r="J14" s="3"/>
      <c r="K14" s="6">
        <f>(pva24_[[#This Row],[PESO (g)]] - ic25_[[#This Row],[Massa (g)]]) / (ic25_[[#This Row],[Massa (g)]])</f>
        <v>0.62772785622593064</v>
      </c>
      <c r="L14" s="6">
        <f>(pva24_[[#This Row],[LARGURA MÉD (mm)]] - ic25_[[#This Row],[LARGURA MÉD (mm)]]) / (ic25_[[#This Row],[LARGURA MÉD (mm)]])</f>
        <v>0.55540586055911112</v>
      </c>
      <c r="M14" s="6">
        <f>(pva24_[[#This Row],[ESPESSURA MÉD (mm)]] - ic25_[[#This Row],[ESPESSURA MÉD (mm)]]) / (ic25_[[#This Row],[ESPESSURA MÉD (mm)]])</f>
        <v>-2.1002317497103167E-2</v>
      </c>
      <c r="N14" s="3"/>
      <c r="O14" s="7">
        <f>(pva24_[[#This Row],[Densidade Aparente m/V (kg/m³)]] - ic25_[[#This Row],[ME.Aparente m/V (kg/m³)]]) / (ic25_[[#This Row],[ME.Aparente m/V (kg/m³)]])</f>
        <v>6.9748872144602361E-2</v>
      </c>
      <c r="P14" s="6">
        <f>(pva24_[[#This Row],[SW Velocidade (m/s)]] - ic25_[[#This Row],[SW Vel. (m/s)]]) / (ic25_[[#This Row],[SW Vel. (m/s)]])</f>
        <v>1.9960800294968356E-2</v>
      </c>
      <c r="Q14" s="5">
        <f>(pva24_[[#This Row],[E (módulo de elasticidade) MPa]] - ic25_[[#This Row],[MOE_din (Mpa)]]) / (ic25_[[#This Row],[MOE_din (Mpa)]])</f>
        <v>0.11288118318893672</v>
      </c>
    </row>
    <row r="15" spans="1:17" x14ac:dyDescent="0.3">
      <c r="A15" s="4" t="s">
        <v>59</v>
      </c>
      <c r="B15" s="4" t="s">
        <v>21</v>
      </c>
      <c r="C15" s="4" t="str">
        <f t="shared" si="0"/>
        <v>28K / 16F</v>
      </c>
      <c r="D15" s="4" t="s">
        <v>36</v>
      </c>
      <c r="E15" s="3">
        <f>(pva24_[[#This Row],[COMPRIMENTO (cm)]] - ic25_[[#This Row],[COMPRIMENTO (cm)]])</f>
        <v>-1.3000000000000114</v>
      </c>
      <c r="F15" s="3"/>
      <c r="G15" s="5">
        <f>(pva24_[[#This Row],[SW]] - ic25_[[#This Row],[SW]]) / (ic25_[[#This Row],[SW]])</f>
        <v>-6.7975830815709973E-2</v>
      </c>
      <c r="H15" s="3"/>
      <c r="I15" s="3"/>
      <c r="J15" s="3"/>
      <c r="K15" s="6">
        <f>(pva24_[[#This Row],[PESO (g)]] - ic25_[[#This Row],[Massa (g)]]) / (ic25_[[#This Row],[Massa (g)]])</f>
        <v>0.50495049504950495</v>
      </c>
      <c r="L15" s="6">
        <f>(pva24_[[#This Row],[LARGURA MÉD (mm)]] - ic25_[[#This Row],[LARGURA MÉD (mm)]]) / (ic25_[[#This Row],[LARGURA MÉD (mm)]])</f>
        <v>0.56515636404469127</v>
      </c>
      <c r="M15" s="6">
        <f>(pva24_[[#This Row],[ESPESSURA MÉD (mm)]] - ic25_[[#This Row],[ESPESSURA MÉD (mm)]]) / (ic25_[[#This Row],[ESPESSURA MÉD (mm)]])</f>
        <v>-9.1624910522546364E-3</v>
      </c>
      <c r="N15" s="3"/>
      <c r="O15" s="7">
        <f>(pva24_[[#This Row],[Densidade Aparente m/V (kg/m³)]] - ic25_[[#This Row],[ME.Aparente m/V (kg/m³)]]) / (ic25_[[#This Row],[ME.Aparente m/V (kg/m³)]])</f>
        <v>-2.475424236482476E-2</v>
      </c>
      <c r="P15" s="6">
        <f>(pva24_[[#This Row],[SW Velocidade (m/s)]] - ic25_[[#This Row],[SW Vel. (m/s)]]) / (ic25_[[#This Row],[SW Vel. (m/s)]])</f>
        <v>6.7630075614250329E-2</v>
      </c>
      <c r="Q15" s="5">
        <f>(pva24_[[#This Row],[E (módulo de elasticidade) MPa]] - ic25_[[#This Row],[MOE_din (Mpa)]]) / (ic25_[[#This Row],[MOE_din (Mpa)]])</f>
        <v>0.11161825180020078</v>
      </c>
    </row>
    <row r="16" spans="1:17" x14ac:dyDescent="0.3">
      <c r="A16" s="4" t="s">
        <v>60</v>
      </c>
      <c r="B16" s="4" t="s">
        <v>22</v>
      </c>
      <c r="C16" s="4" t="str">
        <f t="shared" si="0"/>
        <v>29K / 24F</v>
      </c>
      <c r="D16" s="4" t="s">
        <v>37</v>
      </c>
      <c r="E16" s="3">
        <f>(pva24_[[#This Row],[COMPRIMENTO (cm)]] - ic25_[[#This Row],[COMPRIMENTO (cm)]])</f>
        <v>0.10000000000002274</v>
      </c>
      <c r="F16" s="3"/>
      <c r="G16" s="5">
        <f>(pva24_[[#This Row],[SW]] - ic25_[[#This Row],[SW]]) / (ic25_[[#This Row],[SW]])</f>
        <v>-0.15703703703703703</v>
      </c>
      <c r="H16" s="3"/>
      <c r="I16" s="3"/>
      <c r="J16" s="3"/>
      <c r="K16" s="6">
        <f>(pva24_[[#This Row],[PESO (g)]] - ic25_[[#This Row],[Massa (g)]]) / (ic25_[[#This Row],[Massa (g)]])</f>
        <v>0.59667673716012082</v>
      </c>
      <c r="L16" s="6">
        <f>(pva24_[[#This Row],[LARGURA MÉD (mm)]] - ic25_[[#This Row],[LARGURA MÉD (mm)]]) / (ic25_[[#This Row],[LARGURA MÉD (mm)]])</f>
        <v>0.56440478194982313</v>
      </c>
      <c r="M16" s="6">
        <f>(pva24_[[#This Row],[ESPESSURA MÉD (mm)]] - ic25_[[#This Row],[ESPESSURA MÉD (mm)]]) / (ic25_[[#This Row],[ESPESSURA MÉD (mm)]])</f>
        <v>-4.1612856937866555E-3</v>
      </c>
      <c r="N16" s="3"/>
      <c r="O16" s="7">
        <f>(pva24_[[#This Row],[Densidade Aparente m/V (kg/m³)]] - ic25_[[#This Row],[ME.Aparente m/V (kg/m³)]]) / (ic25_[[#This Row],[ME.Aparente m/V (kg/m³)]])</f>
        <v>2.4504233939557918E-2</v>
      </c>
      <c r="P16" s="6">
        <f>(pva24_[[#This Row],[SW Velocidade (m/s)]] - ic25_[[#This Row],[SW Vel. (m/s)]]) / (ic25_[[#This Row],[SW Vel. (m/s)]])</f>
        <v>0.1867428013926109</v>
      </c>
      <c r="Q16" s="5">
        <f>(pva24_[[#This Row],[E (módulo de elasticidade) MPa]] - ic25_[[#This Row],[MOE_din (Mpa)]]) / (ic25_[[#This Row],[MOE_din (Mpa)]])</f>
        <v>0.44286922223994907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pva24</vt:lpstr>
      <vt:lpstr>ic25</vt:lpstr>
      <vt:lpstr>Médias e Gráf.</vt:lpstr>
      <vt:lpstr>E Mec Corrigido</vt:lpstr>
      <vt:lpstr>E Mec Rascunho</vt:lpstr>
      <vt:lpstr>E Mec</vt:lpstr>
      <vt:lpstr>Rascunho Teste</vt:lpstr>
      <vt:lpstr>Rascunho24 e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Almeida Negrini</dc:creator>
  <cp:lastModifiedBy>Fernando Almeida Negrini</cp:lastModifiedBy>
  <dcterms:created xsi:type="dcterms:W3CDTF">2025-06-30T19:51:35Z</dcterms:created>
  <dcterms:modified xsi:type="dcterms:W3CDTF">2025-12-19T17:37:58Z</dcterms:modified>
</cp:coreProperties>
</file>